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5524" yWindow="4452" windowWidth="15336" windowHeight="4512" activeTab="1"/>
  </bookViews>
  <sheets>
    <sheet name="Info" sheetId="1" r:id="rId1"/>
    <sheet name="Hauptmenue" sheetId="2" r:id="rId2"/>
    <sheet name="Vorgaben" sheetId="3" r:id="rId3"/>
    <sheet name="Spielplan" sheetId="4" r:id="rId4"/>
    <sheet name="Spielplan2" sheetId="5" r:id="rId5"/>
    <sheet name="Gruppen-Tabellen" sheetId="6" r:id="rId6"/>
    <sheet name="Gruppen-Tabellen2" sheetId="7" r:id="rId7"/>
    <sheet name="Rechnen2" sheetId="8" state="hidden" r:id="rId8"/>
    <sheet name="Rechnen" sheetId="9" state="hidden" r:id="rId9"/>
  </sheets>
  <definedNames>
    <definedName name="_xlnm.Print_Area" localSheetId="5">'Gruppen-Tabellen'!$A$1:$I$25</definedName>
    <definedName name="_xlnm.Print_Area" localSheetId="6">'Gruppen-Tabellen2'!$A$1:$I$25</definedName>
    <definedName name="_xlnm.Print_Area" localSheetId="3">'Spielplan'!$A$1:$J$37</definedName>
    <definedName name="_xlnm.Print_Area" localSheetId="4">'Spielplan2'!$A$1:$J$91</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Wickenh?user, Eugen</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nach dem letzten Gruppenspiel der Vorrunde eintragen Format hh:mm
Zeit letztes Gruppenspiel+ (Spielzeit+gewünschte Pause) so setzt  sich die  Beginnzeit der Zwischenrunde zusammen</t>
        </r>
      </text>
    </comment>
    <comment ref="D15" authorId="1">
      <text>
        <r>
          <rPr>
            <b/>
            <sz val="9"/>
            <rFont val="Tahoma"/>
            <family val="2"/>
          </rPr>
          <t>Wickenhäuser, Eugen:</t>
        </r>
        <r>
          <rPr>
            <sz val="9"/>
            <rFont val="Tahoma"/>
            <family val="2"/>
          </rPr>
          <t xml:space="preserve">
Kann auch manuell geändert werden, wird dann im Spielplan 2 übernommen
</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comments7.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<sst xmlns="http://schemas.openxmlformats.org/spreadsheetml/2006/main" count="588" uniqueCount="161">
  <si>
    <t>Gruppe A</t>
  </si>
  <si>
    <t>Pkte</t>
  </si>
  <si>
    <t>Tore</t>
  </si>
  <si>
    <t>Gruppe C</t>
  </si>
  <si>
    <t>Dauer:</t>
  </si>
  <si>
    <t>Pause:</t>
  </si>
  <si>
    <t>Gruppe B</t>
  </si>
  <si>
    <t>Gruppe D</t>
  </si>
  <si>
    <t>Zeit</t>
  </si>
  <si>
    <t>Spiel Nr.</t>
  </si>
  <si>
    <t>Gruppe</t>
  </si>
  <si>
    <t>Vorrunde</t>
  </si>
  <si>
    <t>Ergebnis</t>
  </si>
  <si>
    <t>-</t>
  </si>
  <si>
    <t>:</t>
  </si>
  <si>
    <t>Zweiter Gruppe A</t>
  </si>
  <si>
    <t>Erster Gruppe C</t>
  </si>
  <si>
    <t>Erster Gruppe D</t>
  </si>
  <si>
    <t>Zweiter Gruppe B</t>
  </si>
  <si>
    <t>Vorgaben</t>
  </si>
  <si>
    <t>Spielzeit</t>
  </si>
  <si>
    <t>hh:mm</t>
  </si>
  <si>
    <t>(zwischen den Spielen)</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</si>
  <si>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</si>
  <si>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</si>
  <si>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</si>
  <si>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</si>
  <si>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</si>
  <si>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</si>
  <si>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</si>
  <si>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</si>
  <si>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</si>
  <si>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</si>
  <si>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</si>
  <si>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</si>
  <si>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</si>
  <si>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Rang</t>
  </si>
  <si>
    <t>(Vorrunde)</t>
  </si>
  <si>
    <t>Summe aller Spiele Gruppe C</t>
  </si>
  <si>
    <t>Summe aller Spiele Gruppe D</t>
  </si>
  <si>
    <t>Sieger Viertelfinale Spiel 27</t>
  </si>
  <si>
    <t>Zwischenrunde</t>
  </si>
  <si>
    <t>Gruppe E</t>
  </si>
  <si>
    <t>Gruppe F</t>
  </si>
  <si>
    <t>Gruppe H</t>
  </si>
  <si>
    <t>Zwischenrunde Gruppen - Tabellen</t>
  </si>
  <si>
    <t>Endrunde</t>
  </si>
  <si>
    <t>1.</t>
  </si>
  <si>
    <t>2.</t>
  </si>
  <si>
    <t>3.</t>
  </si>
  <si>
    <t>4.</t>
  </si>
  <si>
    <t>5.</t>
  </si>
  <si>
    <t>6.</t>
  </si>
  <si>
    <t>7.</t>
  </si>
  <si>
    <t>8.</t>
  </si>
  <si>
    <r>
      <t>Vorrunde</t>
    </r>
    <r>
      <rPr>
        <b/>
        <i/>
        <sz val="14"/>
        <rFont val="Arial"/>
        <family val="2"/>
      </rPr>
      <t xml:space="preserve"> </t>
    </r>
    <r>
      <rPr>
        <b/>
        <i/>
        <sz val="12"/>
        <rFont val="Arial"/>
        <family val="2"/>
      </rPr>
      <t>Gruppen - Tabellen</t>
    </r>
  </si>
  <si>
    <t>Summe aller Spiele Gruppe E</t>
  </si>
  <si>
    <t>Summe aller Spiele Gruppe F</t>
  </si>
  <si>
    <t>Summe aller Spiele Gruppe G</t>
  </si>
  <si>
    <t>Summe aller Spiele Gruppe H</t>
  </si>
  <si>
    <t>Vierter Gruppe A</t>
  </si>
  <si>
    <t>Vierter Gruppe B</t>
  </si>
  <si>
    <t>Dritter Gruppe C</t>
  </si>
  <si>
    <t>Dritter Gruppe D</t>
  </si>
  <si>
    <t>Beginn:</t>
  </si>
  <si>
    <t>(nach Vorrunde)</t>
  </si>
  <si>
    <t>Gr.F</t>
  </si>
  <si>
    <t>Gr.H</t>
  </si>
  <si>
    <t>Dritter Gruppe E</t>
  </si>
  <si>
    <t>Winner  V (Spiel 49)</t>
  </si>
  <si>
    <t>Dritter Gruppe F</t>
  </si>
  <si>
    <t>(X)</t>
  </si>
  <si>
    <t>(Y)</t>
  </si>
  <si>
    <t>Winner  W (Spiel 50)</t>
  </si>
  <si>
    <t>(um Platz 11)</t>
  </si>
  <si>
    <t>Zweiter Gruppe G</t>
  </si>
  <si>
    <t>Zweiter Gruppe H</t>
  </si>
  <si>
    <t>(um Platz 9)</t>
  </si>
  <si>
    <t>Looser  V (Spiel 49)</t>
  </si>
  <si>
    <t>Looser  W (Spiel 50)</t>
  </si>
  <si>
    <t>Zweiter Gruppe E</t>
  </si>
  <si>
    <t>(A)</t>
  </si>
  <si>
    <t>Winner Y (Spiel 52)</t>
  </si>
  <si>
    <t>(B)</t>
  </si>
  <si>
    <t>Winner A (Spiel 55)</t>
  </si>
  <si>
    <t>Winner B (Spiel 56)</t>
  </si>
  <si>
    <t>Erster Gruppe E</t>
  </si>
  <si>
    <t>Erster Gruppe F</t>
  </si>
  <si>
    <t>(C)</t>
  </si>
  <si>
    <t>(D)</t>
  </si>
  <si>
    <t>Looser X (Spiel  51)</t>
  </si>
  <si>
    <t>Winner X (Spiel 51)</t>
  </si>
  <si>
    <t>Looser Y (Spiel 52)</t>
  </si>
  <si>
    <t>(um Platz 7)</t>
  </si>
  <si>
    <t>(um Platz 5)</t>
  </si>
  <si>
    <t>(um Platz 3)</t>
  </si>
  <si>
    <t>Looser A (Spiel  55)</t>
  </si>
  <si>
    <t>Looser B (Spiel 56)</t>
  </si>
  <si>
    <t>1. Halbfinale</t>
  </si>
  <si>
    <t>2. Halbfinale</t>
  </si>
  <si>
    <t>Gruppe G (F)</t>
  </si>
  <si>
    <t>Endspiel</t>
  </si>
  <si>
    <t>Verlierer 1. Halbfinale</t>
  </si>
  <si>
    <t>Sieger 1. Halbfinale</t>
  </si>
  <si>
    <t>Sieger 2. Halbfinale</t>
  </si>
  <si>
    <t>Verlierer 2. Halbfinale</t>
  </si>
  <si>
    <t>(nach Zwischenrunde</t>
  </si>
  <si>
    <t>Tisch 1 A1</t>
  </si>
  <si>
    <t>Tisch 1 A2</t>
  </si>
  <si>
    <t>Tisch 1 A3</t>
  </si>
  <si>
    <t>Tisch 1 A4</t>
  </si>
  <si>
    <t>Tisch 2 B4</t>
  </si>
  <si>
    <t>Tisch 2 B1</t>
  </si>
  <si>
    <t>Tisch 2 B2</t>
  </si>
  <si>
    <t>Tisch 2 B3</t>
  </si>
  <si>
    <t>Tisch 4 D1</t>
  </si>
  <si>
    <t>Tisch 4 D2</t>
  </si>
  <si>
    <t>Tisch 4 D3</t>
  </si>
  <si>
    <t>Tisch 4 D4</t>
  </si>
  <si>
    <t>Tisch 1</t>
  </si>
  <si>
    <t>Tisch 2</t>
  </si>
  <si>
    <t>Tisch 3</t>
  </si>
  <si>
    <t>Tisch 4</t>
  </si>
  <si>
    <t>Tisch 2 C1</t>
  </si>
  <si>
    <t>Tisch 2 C2</t>
  </si>
  <si>
    <t>Tisch 2 C3</t>
  </si>
  <si>
    <t>Tisch 2 C4</t>
  </si>
  <si>
    <t>Erster Tisch 1</t>
  </si>
  <si>
    <t>Erster Tisch 2</t>
  </si>
  <si>
    <t>Zweiter Tisch 3</t>
  </si>
  <si>
    <t>Zweiter Tisch 4</t>
  </si>
  <si>
    <t>ZweiterTisch 1</t>
  </si>
  <si>
    <t>Zweiter Tisch 2</t>
  </si>
  <si>
    <t>Erster Tisch 3</t>
  </si>
  <si>
    <t>Erster  Tisch 4</t>
  </si>
  <si>
    <t>Tisch A Zwischenrunde</t>
  </si>
  <si>
    <t>Tisch B Zwischenrunde</t>
  </si>
  <si>
    <t>Spielort-
tisch/ Gruppe</t>
  </si>
  <si>
    <t>T1 / Gr.A</t>
  </si>
  <si>
    <t>T2 / Gr.A</t>
  </si>
  <si>
    <t>Gruppe A Zwischenrunde</t>
  </si>
  <si>
    <t>Gruppe B Zwischenrunde</t>
  </si>
  <si>
    <t>T3 / Gr.B</t>
  </si>
  <si>
    <t>T4 / Gr.B</t>
  </si>
  <si>
    <t>Zweiter Gruppe A Zwischenrunde</t>
  </si>
  <si>
    <t>Erster Gruppe B Zwischenrunde</t>
  </si>
  <si>
    <t>Erster Gruppe A Zwischenrunde</t>
  </si>
  <si>
    <t>37 / T1</t>
  </si>
  <si>
    <t>38 / T2</t>
  </si>
  <si>
    <t>41 / T2</t>
  </si>
  <si>
    <t>39 / T3</t>
  </si>
  <si>
    <t>40 / T4</t>
  </si>
  <si>
    <t>42 / T1</t>
  </si>
  <si>
    <t>Spiel Nr. / Spielort</t>
  </si>
  <si>
    <t>Dritter Gruppe A Zwischenrunde</t>
  </si>
  <si>
    <t>Zweiter Gruppe B Zwischenrunde</t>
  </si>
  <si>
    <t>Dritter Gruppe B Zwischenrunde</t>
  </si>
  <si>
    <t>Vierter Gruppe A Zwischenrunde</t>
  </si>
  <si>
    <t>Vierter Gruppe B Zwischenrunde</t>
  </si>
  <si>
    <t>n. E.</t>
  </si>
  <si>
    <t>(nach HF)</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</si>
</sst>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94">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sz val="9"/>
      <name val="Small Fonts"/>
      <family val="2"/>
    </font>
    <font>
      <b/>
      <sz val="12"/>
      <color indexed="10"/>
      <name val="Arial"/>
      <family val="2"/>
    </font>
    <font>
      <b/>
      <sz val="8"/>
      <color indexed="10"/>
      <name val="Arial"/>
      <family val="2"/>
    </font>
    <font>
      <sz val="16"/>
      <color indexed="10"/>
      <name val="Arial"/>
      <family val="2"/>
    </font>
    <font>
      <b/>
      <sz val="16"/>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2"/>
      <color indexed="56"/>
      <name val="Arial"/>
      <family val="2"/>
    </font>
    <font>
      <b/>
      <sz val="8"/>
      <color indexed="12"/>
      <name val="Arial"/>
      <family val="2"/>
    </font>
    <font>
      <b/>
      <sz val="26"/>
      <color indexed="9"/>
      <name val="Arial"/>
      <family val="2"/>
    </font>
    <font>
      <b/>
      <i/>
      <sz val="16"/>
      <name val="Arial"/>
      <family val="2"/>
    </font>
    <font>
      <b/>
      <i/>
      <sz val="12"/>
      <name val="Arial"/>
      <family val="2"/>
    </font>
    <font>
      <b/>
      <sz val="14"/>
      <color indexed="56"/>
      <name val="Arial"/>
      <family val="2"/>
    </font>
    <font>
      <b/>
      <sz val="16"/>
      <color indexed="56"/>
      <name val="Arial"/>
      <family val="2"/>
    </font>
    <font>
      <b/>
      <sz val="11"/>
      <name val="Arial"/>
      <family val="2"/>
    </font>
    <font>
      <b/>
      <sz val="10"/>
      <color indexed="9"/>
      <name val="Arial"/>
      <family val="2"/>
    </font>
    <font>
      <sz val="12"/>
      <color indexed="10"/>
      <name val="Arial"/>
      <family val="2"/>
    </font>
    <font>
      <b/>
      <sz val="11"/>
      <color indexed="56"/>
      <name val="Arial"/>
      <family val="2"/>
    </font>
    <font>
      <b/>
      <sz val="11"/>
      <color indexed="10"/>
      <name val="Arial"/>
      <family val="2"/>
    </font>
    <font>
      <b/>
      <sz val="11"/>
      <color indexed="12"/>
      <name val="Arial"/>
      <family val="2"/>
    </font>
    <font>
      <b/>
      <sz val="6"/>
      <color indexed="16"/>
      <name val="Arial"/>
      <family val="2"/>
    </font>
    <font>
      <b/>
      <sz val="10"/>
      <color indexed="16"/>
      <name val="Arial"/>
      <family val="2"/>
    </font>
    <font>
      <sz val="9"/>
      <name val="Tahoma"/>
      <family val="2"/>
    </font>
    <font>
      <b/>
      <sz val="9"/>
      <name val="Tahoma"/>
      <family val="2"/>
    </font>
    <font>
      <b/>
      <sz val="12"/>
      <color indexed="12"/>
      <name val="Arial"/>
      <family val="2"/>
    </font>
    <font>
      <b/>
      <u val="single"/>
      <sz val="12"/>
      <color indexed="12"/>
      <name val="Arial"/>
      <family val="2"/>
    </font>
    <font>
      <b/>
      <u val="single"/>
      <sz val="12"/>
      <color indexed="10"/>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theme="0"/>
        <bgColor indexed="64"/>
      </patternFill>
    </fill>
    <fill>
      <patternFill patternType="solid">
        <fgColor theme="0" tint="-0.1499900072813034"/>
        <bgColor indexed="64"/>
      </patternFill>
    </fill>
    <fill>
      <patternFill patternType="solid">
        <fgColor indexed="41"/>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style="thin"/>
    </border>
    <border>
      <left style="medium"/>
      <right style="thin"/>
      <top style="thin"/>
      <bottom style="medium"/>
    </border>
    <border>
      <left>
        <color indexed="63"/>
      </left>
      <right style="medium"/>
      <top style="thin"/>
      <bottom style="medium"/>
    </border>
    <border>
      <left style="medium"/>
      <right style="thin"/>
      <top style="medium"/>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81" fillId="27" borderId="2" applyNumberFormat="0" applyAlignment="0" applyProtection="0"/>
    <xf numFmtId="0" fontId="82" fillId="0" borderId="3" applyNumberFormat="0" applyFill="0" applyAlignment="0" applyProtection="0"/>
    <xf numFmtId="0" fontId="83" fillId="0" borderId="0" applyNumberFormat="0" applyFill="0" applyBorder="0" applyAlignment="0" applyProtection="0"/>
    <xf numFmtId="0" fontId="84"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8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6" fillId="31" borderId="0" applyNumberFormat="0" applyBorder="0" applyAlignment="0" applyProtection="0"/>
    <xf numFmtId="0" fontId="0" fillId="0" borderId="0">
      <alignment/>
      <protection/>
    </xf>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0" borderId="0" applyNumberFormat="0" applyFill="0" applyBorder="0" applyAlignment="0" applyProtection="0"/>
    <xf numFmtId="0" fontId="93" fillId="32" borderId="9" applyNumberFormat="0" applyAlignment="0" applyProtection="0"/>
  </cellStyleXfs>
  <cellXfs count="265">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top"/>
      <protection/>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10" xfId="0" applyFont="1" applyFill="1" applyBorder="1" applyAlignment="1" applyProtection="1">
      <alignment horizontal="center"/>
      <protection/>
    </xf>
    <xf numFmtId="0" fontId="24"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0" borderId="0" xfId="0" applyFont="1" applyFill="1" applyBorder="1" applyAlignment="1" applyProtection="1">
      <alignment horizontal="left"/>
      <protection/>
    </xf>
    <xf numFmtId="0" fontId="19"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Border="1" applyAlignment="1" applyProtection="1">
      <alignment horizontal="right"/>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centerContinuous"/>
      <protection/>
    </xf>
    <xf numFmtId="20" fontId="25"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5" fillId="0" borderId="0" xfId="0" applyFont="1" applyFill="1" applyBorder="1" applyAlignment="1" applyProtection="1">
      <alignment/>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173" fontId="24" fillId="33" borderId="0" xfId="0" applyNumberFormat="1" applyFont="1" applyFill="1" applyAlignment="1" applyProtection="1">
      <alignment horizontal="center"/>
      <protection/>
    </xf>
    <xf numFmtId="0" fontId="30"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0" fillId="33" borderId="0" xfId="0" applyFont="1" applyFill="1" applyAlignment="1" applyProtection="1">
      <alignment horizontal="center"/>
      <protection/>
    </xf>
    <xf numFmtId="0" fontId="31" fillId="33" borderId="0" xfId="0" applyFont="1" applyFill="1" applyAlignment="1" applyProtection="1">
      <alignment horizontal="center"/>
      <protection/>
    </xf>
    <xf numFmtId="0" fontId="30" fillId="33" borderId="0" xfId="0" applyFont="1" applyFill="1" applyAlignment="1" applyProtection="1">
      <alignment/>
      <protection/>
    </xf>
    <xf numFmtId="0" fontId="9" fillId="33" borderId="0" xfId="0" applyFont="1" applyFill="1" applyAlignment="1" applyProtection="1">
      <alignment/>
      <protection/>
    </xf>
    <xf numFmtId="0" fontId="0" fillId="33" borderId="0" xfId="0" applyFont="1" applyFill="1" applyAlignment="1" applyProtection="1">
      <alignment horizontal="center" vertical="center"/>
      <protection locked="0"/>
    </xf>
    <xf numFmtId="0" fontId="9" fillId="33" borderId="0" xfId="0"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35" fillId="33" borderId="0" xfId="0" applyFont="1" applyFill="1" applyAlignment="1" applyProtection="1">
      <alignment horizontal="centerContinuous" vertical="center" wrapText="1"/>
      <protection/>
    </xf>
    <xf numFmtId="173" fontId="24" fillId="33" borderId="0" xfId="0" applyNumberFormat="1" applyFont="1" applyFill="1" applyAlignment="1" applyProtection="1">
      <alignment horizontal="center" vertical="center"/>
      <protection/>
    </xf>
    <xf numFmtId="0" fontId="0" fillId="33" borderId="0" xfId="0" applyNumberFormat="1" applyFont="1" applyFill="1" applyAlignment="1" applyProtection="1">
      <alignment/>
      <protection/>
    </xf>
    <xf numFmtId="0" fontId="0" fillId="33" borderId="0" xfId="0" applyFont="1" applyFill="1" applyAlignment="1" applyProtection="1">
      <alignment horizontal="center" vertical="center"/>
      <protection/>
    </xf>
    <xf numFmtId="0" fontId="24" fillId="33" borderId="0" xfId="0" applyFont="1" applyFill="1" applyAlignment="1" applyProtection="1">
      <alignment horizontal="right" vertical="center"/>
      <protection/>
    </xf>
    <xf numFmtId="0" fontId="24" fillId="33" borderId="0" xfId="0" applyFont="1" applyFill="1" applyAlignment="1" applyProtection="1">
      <alignment horizontal="center" vertical="center"/>
      <protection/>
    </xf>
    <xf numFmtId="0" fontId="24" fillId="33" borderId="0" xfId="0" applyFont="1" applyFill="1" applyAlignment="1" applyProtection="1">
      <alignment horizontal="left" vertical="center"/>
      <protection/>
    </xf>
    <xf numFmtId="0" fontId="24" fillId="33" borderId="10" xfId="0" applyFont="1" applyFill="1" applyBorder="1" applyAlignment="1" applyProtection="1">
      <alignment horizontal="right" vertical="center"/>
      <protection locked="0"/>
    </xf>
    <xf numFmtId="0" fontId="24" fillId="33" borderId="10" xfId="0" applyFont="1" applyFill="1" applyBorder="1" applyAlignment="1" applyProtection="1">
      <alignment horizontal="left" vertical="center"/>
      <protection locked="0"/>
    </xf>
    <xf numFmtId="0" fontId="24" fillId="33" borderId="0" xfId="0" applyFont="1" applyFill="1" applyAlignment="1" applyProtection="1">
      <alignment vertical="center"/>
      <protection/>
    </xf>
    <xf numFmtId="0" fontId="0" fillId="0" borderId="0" xfId="53">
      <alignment/>
      <protection/>
    </xf>
    <xf numFmtId="0" fontId="0" fillId="33" borderId="0" xfId="0" applyNumberFormat="1" applyFont="1" applyFill="1" applyAlignment="1">
      <alignment/>
    </xf>
    <xf numFmtId="0" fontId="0" fillId="33" borderId="0" xfId="0" applyFont="1" applyFill="1" applyAlignment="1">
      <alignment/>
    </xf>
    <xf numFmtId="0" fontId="25" fillId="33" borderId="13" xfId="0" applyFont="1" applyFill="1" applyBorder="1" applyAlignment="1" applyProtection="1">
      <alignment horizontal="center"/>
      <protection/>
    </xf>
    <xf numFmtId="0" fontId="24" fillId="33" borderId="0" xfId="0" applyFont="1" applyFill="1" applyBorder="1" applyAlignment="1" applyProtection="1">
      <alignment horizontal="left" vertical="center"/>
      <protection/>
    </xf>
    <xf numFmtId="0" fontId="4" fillId="33" borderId="14" xfId="0" applyFont="1" applyFill="1" applyBorder="1" applyAlignment="1" applyProtection="1">
      <alignment horizontal="center" vertical="center"/>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vertical="center"/>
      <protection/>
    </xf>
    <xf numFmtId="0" fontId="5" fillId="33" borderId="15" xfId="0" applyFont="1" applyFill="1" applyBorder="1" applyAlignment="1" applyProtection="1">
      <alignment horizontal="right" vertical="center"/>
      <protection/>
    </xf>
    <xf numFmtId="0" fontId="5" fillId="33" borderId="15" xfId="0" applyFont="1" applyFill="1" applyBorder="1" applyAlignment="1" applyProtection="1">
      <alignment horizontal="centerContinuous" vertical="center"/>
      <protection/>
    </xf>
    <xf numFmtId="0" fontId="5" fillId="33" borderId="16" xfId="0" applyFont="1" applyFill="1" applyBorder="1" applyAlignment="1" applyProtection="1">
      <alignment horizontal="centerContinuous" vertical="center"/>
      <protection/>
    </xf>
    <xf numFmtId="0" fontId="0" fillId="33" borderId="0" xfId="0" applyFont="1" applyFill="1" applyBorder="1" applyAlignment="1" applyProtection="1">
      <alignment horizontal="center"/>
      <protection/>
    </xf>
    <xf numFmtId="0" fontId="1" fillId="33" borderId="0" xfId="0" applyFont="1" applyFill="1" applyAlignment="1">
      <alignment/>
    </xf>
    <xf numFmtId="0" fontId="1" fillId="33" borderId="0" xfId="0" applyFont="1" applyFill="1" applyAlignment="1">
      <alignment vertical="top"/>
    </xf>
    <xf numFmtId="20" fontId="1" fillId="38" borderId="0" xfId="0" applyNumberFormat="1" applyFont="1" applyFill="1" applyAlignment="1" applyProtection="1">
      <alignment horizontal="center" vertical="center"/>
      <protection locked="0"/>
    </xf>
    <xf numFmtId="0" fontId="1" fillId="33" borderId="0" xfId="0" applyFont="1" applyFill="1" applyAlignment="1" applyProtection="1">
      <alignment horizontal="centerContinuous" wrapText="1"/>
      <protection/>
    </xf>
    <xf numFmtId="0" fontId="4"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0" xfId="0" applyFill="1" applyBorder="1" applyAlignment="1">
      <alignment horizontal="center"/>
    </xf>
    <xf numFmtId="0" fontId="42" fillId="39" borderId="0" xfId="0" applyFont="1" applyFill="1" applyBorder="1" applyAlignment="1">
      <alignment horizontal="center" vertical="center"/>
    </xf>
    <xf numFmtId="0" fontId="0" fillId="36" borderId="0" xfId="0" applyFill="1" applyBorder="1" applyAlignment="1">
      <alignment/>
    </xf>
    <xf numFmtId="0" fontId="0" fillId="39" borderId="0" xfId="0" applyFill="1" applyBorder="1" applyAlignment="1">
      <alignment/>
    </xf>
    <xf numFmtId="0" fontId="47" fillId="34" borderId="0" xfId="0" applyFont="1" applyFill="1" applyAlignment="1" applyProtection="1">
      <alignment horizontal="right" vertical="center"/>
      <protection/>
    </xf>
    <xf numFmtId="0" fontId="47" fillId="34" borderId="0" xfId="0" applyFont="1" applyFill="1" applyAlignment="1" applyProtection="1">
      <alignment horizontal="left" vertical="center"/>
      <protection/>
    </xf>
    <xf numFmtId="0" fontId="31"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horizontal="center" vertical="top"/>
      <protection/>
    </xf>
    <xf numFmtId="0" fontId="6" fillId="33" borderId="0" xfId="0" applyFont="1" applyFill="1" applyAlignment="1" applyProtection="1">
      <alignment horizontal="center" vertical="top"/>
      <protection/>
    </xf>
    <xf numFmtId="0" fontId="6" fillId="33" borderId="0" xfId="0" applyFont="1" applyFill="1" applyAlignment="1" applyProtection="1">
      <alignment horizontal="left" vertical="top"/>
      <protection/>
    </xf>
    <xf numFmtId="0" fontId="0" fillId="33" borderId="0" xfId="0" applyFont="1" applyFill="1" applyAlignment="1" applyProtection="1">
      <alignment vertical="top"/>
      <protection/>
    </xf>
    <xf numFmtId="0" fontId="31" fillId="33" borderId="0" xfId="0" applyFont="1" applyFill="1" applyBorder="1" applyAlignment="1" applyProtection="1">
      <alignment horizontal="center" vertical="top"/>
      <protection/>
    </xf>
    <xf numFmtId="173" fontId="24"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protection/>
    </xf>
    <xf numFmtId="0" fontId="24" fillId="33" borderId="11" xfId="0" applyFont="1" applyFill="1" applyBorder="1" applyAlignment="1" applyProtection="1">
      <alignment horizontal="center" vertical="center"/>
      <protection/>
    </xf>
    <xf numFmtId="0" fontId="47" fillId="34" borderId="12" xfId="0" applyFont="1" applyFill="1" applyBorder="1" applyAlignment="1" applyProtection="1">
      <alignment horizontal="left" vertical="center"/>
      <protection/>
    </xf>
    <xf numFmtId="0" fontId="0" fillId="33" borderId="17" xfId="0" applyFont="1" applyFill="1" applyBorder="1" applyAlignment="1" applyProtection="1">
      <alignment horizontal="center" vertical="top"/>
      <protection/>
    </xf>
    <xf numFmtId="0" fontId="0" fillId="33" borderId="17" xfId="0" applyFont="1" applyFill="1" applyBorder="1" applyAlignment="1">
      <alignment horizontal="left" vertical="top"/>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lignment horizontal="left" vertical="top"/>
    </xf>
    <xf numFmtId="0" fontId="47" fillId="34" borderId="11" xfId="0" applyFont="1" applyFill="1" applyBorder="1" applyAlignment="1" applyProtection="1">
      <alignment horizontal="right" vertical="center"/>
      <protection hidden="1"/>
    </xf>
    <xf numFmtId="0" fontId="47" fillId="34" borderId="12" xfId="0" applyFont="1" applyFill="1" applyBorder="1" applyAlignment="1" applyProtection="1">
      <alignment horizontal="left" vertical="center"/>
      <protection hidden="1"/>
    </xf>
    <xf numFmtId="173" fontId="24" fillId="33" borderId="0" xfId="0" applyNumberFormat="1"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47" fillId="34" borderId="12" xfId="0" applyFont="1" applyFill="1" applyBorder="1" applyAlignment="1" applyProtection="1">
      <alignment horizontal="left" vertical="center"/>
      <protection locked="0"/>
    </xf>
    <xf numFmtId="0" fontId="47" fillId="34" borderId="0" xfId="0" applyFont="1" applyFill="1" applyAlignment="1" applyProtection="1">
      <alignment horizontal="left" vertical="center"/>
      <protection locked="0"/>
    </xf>
    <xf numFmtId="0" fontId="47" fillId="34" borderId="0" xfId="0" applyFont="1" applyFill="1" applyAlignment="1" applyProtection="1">
      <alignment horizontal="right" vertical="center"/>
      <protection locked="0"/>
    </xf>
    <xf numFmtId="0" fontId="47" fillId="0" borderId="11" xfId="0" applyFont="1" applyFill="1" applyBorder="1" applyAlignment="1" applyProtection="1">
      <alignment horizontal="right" vertical="center"/>
      <protection/>
    </xf>
    <xf numFmtId="0" fontId="47" fillId="0" borderId="12" xfId="0" applyFont="1" applyFill="1" applyBorder="1" applyAlignment="1" applyProtection="1">
      <alignment horizontal="left" vertical="center"/>
      <protection/>
    </xf>
    <xf numFmtId="0" fontId="25" fillId="40" borderId="0" xfId="0" applyFont="1" applyFill="1" applyBorder="1" applyAlignment="1" applyProtection="1">
      <alignment horizontal="center"/>
      <protection/>
    </xf>
    <xf numFmtId="0" fontId="24" fillId="40" borderId="0" xfId="0" applyFont="1" applyFill="1" applyBorder="1" applyAlignment="1" applyProtection="1">
      <alignment horizontal="left" vertical="center"/>
      <protection/>
    </xf>
    <xf numFmtId="0" fontId="0" fillId="40" borderId="0" xfId="0" applyFont="1" applyFill="1" applyAlignment="1" applyProtection="1">
      <alignment horizontal="center"/>
      <protection/>
    </xf>
    <xf numFmtId="0" fontId="0" fillId="33" borderId="0" xfId="0" applyFont="1" applyFill="1" applyAlignment="1">
      <alignment vertical="top"/>
    </xf>
    <xf numFmtId="0" fontId="24" fillId="33" borderId="11" xfId="0" applyFont="1" applyFill="1" applyBorder="1" applyAlignment="1" applyProtection="1">
      <alignment horizontal="left" vertical="center"/>
      <protection/>
    </xf>
    <xf numFmtId="0" fontId="1" fillId="35" borderId="18" xfId="0" applyFont="1" applyFill="1" applyBorder="1" applyAlignment="1" applyProtection="1">
      <alignment horizontal="center" vertical="center"/>
      <protection locked="0"/>
    </xf>
    <xf numFmtId="0" fontId="1" fillId="36" borderId="19" xfId="0" applyFont="1" applyFill="1" applyBorder="1" applyAlignment="1" applyProtection="1">
      <alignment horizontal="center"/>
      <protection locked="0"/>
    </xf>
    <xf numFmtId="0" fontId="1" fillId="14" borderId="18" xfId="0" applyFont="1" applyFill="1" applyBorder="1" applyAlignment="1" applyProtection="1">
      <alignment horizontal="center" vertical="center"/>
      <protection locked="0"/>
    </xf>
    <xf numFmtId="0" fontId="1" fillId="19" borderId="19" xfId="0" applyFont="1" applyFill="1" applyBorder="1" applyAlignment="1" applyProtection="1">
      <alignment horizontal="center" vertical="center"/>
      <protection locked="0"/>
    </xf>
    <xf numFmtId="0" fontId="24" fillId="33" borderId="20" xfId="0" applyFont="1" applyFill="1" applyBorder="1" applyAlignment="1" applyProtection="1">
      <alignment horizontal="right" vertical="center"/>
      <protection locked="0"/>
    </xf>
    <xf numFmtId="0" fontId="24" fillId="33" borderId="21" xfId="0" applyFont="1" applyFill="1" applyBorder="1" applyAlignment="1" applyProtection="1">
      <alignment horizontal="left" vertical="center"/>
      <protection locked="0"/>
    </xf>
    <xf numFmtId="0" fontId="24" fillId="33" borderId="19" xfId="0" applyFont="1" applyFill="1" applyBorder="1" applyAlignment="1" applyProtection="1">
      <alignment horizontal="left" vertical="center"/>
      <protection locked="0"/>
    </xf>
    <xf numFmtId="0" fontId="24" fillId="33" borderId="22" xfId="0" applyFont="1" applyFill="1" applyBorder="1" applyAlignment="1" applyProtection="1">
      <alignment horizontal="right" vertical="center"/>
      <protection locked="0"/>
    </xf>
    <xf numFmtId="0" fontId="24" fillId="33" borderId="23" xfId="0" applyFont="1" applyFill="1" applyBorder="1" applyAlignment="1" applyProtection="1">
      <alignment horizontal="left" vertical="center"/>
      <protection locked="0"/>
    </xf>
    <xf numFmtId="0" fontId="24" fillId="33" borderId="24" xfId="0" applyFont="1" applyFill="1" applyBorder="1" applyAlignment="1" applyProtection="1">
      <alignment horizontal="right" vertical="center"/>
      <protection locked="0"/>
    </xf>
    <xf numFmtId="0" fontId="24" fillId="33" borderId="11" xfId="0" applyFont="1" applyFill="1" applyBorder="1" applyAlignment="1" applyProtection="1">
      <alignment horizontal="right" vertical="center"/>
      <protection/>
    </xf>
    <xf numFmtId="0" fontId="24" fillId="41" borderId="10" xfId="0" applyFont="1" applyFill="1" applyBorder="1" applyAlignment="1" applyProtection="1">
      <alignment horizontal="right" vertical="center"/>
      <protection locked="0"/>
    </xf>
    <xf numFmtId="0" fontId="24" fillId="41" borderId="19" xfId="0" applyFont="1" applyFill="1" applyBorder="1" applyAlignment="1" applyProtection="1">
      <alignment horizontal="left" vertical="center"/>
      <protection locked="0"/>
    </xf>
    <xf numFmtId="0" fontId="0" fillId="41" borderId="11" xfId="0" applyFont="1" applyFill="1" applyBorder="1" applyAlignment="1" applyProtection="1">
      <alignment horizontal="center" vertical="center"/>
      <protection/>
    </xf>
    <xf numFmtId="0" fontId="24" fillId="41" borderId="11" xfId="0" applyFont="1" applyFill="1" applyBorder="1" applyAlignment="1" applyProtection="1">
      <alignment horizontal="right" vertical="center"/>
      <protection/>
    </xf>
    <xf numFmtId="0" fontId="24" fillId="41" borderId="11" xfId="0" applyFont="1" applyFill="1" applyBorder="1" applyAlignment="1" applyProtection="1">
      <alignment horizontal="center" vertical="center"/>
      <protection/>
    </xf>
    <xf numFmtId="0" fontId="24" fillId="41" borderId="11" xfId="0" applyFont="1" applyFill="1" applyBorder="1" applyAlignment="1" applyProtection="1">
      <alignment horizontal="left" vertical="center"/>
      <protection/>
    </xf>
    <xf numFmtId="173" fontId="24" fillId="33" borderId="25" xfId="0" applyNumberFormat="1"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24" fillId="33" borderId="26" xfId="0" applyFont="1" applyFill="1" applyBorder="1" applyAlignment="1" applyProtection="1">
      <alignment horizontal="right" vertical="center"/>
      <protection/>
    </xf>
    <xf numFmtId="0" fontId="24" fillId="33" borderId="26" xfId="0" applyFont="1" applyFill="1" applyBorder="1" applyAlignment="1" applyProtection="1">
      <alignment horizontal="center" vertical="center"/>
      <protection/>
    </xf>
    <xf numFmtId="0" fontId="24" fillId="33" borderId="26" xfId="0" applyFont="1" applyFill="1" applyBorder="1" applyAlignment="1" applyProtection="1">
      <alignment horizontal="left" vertical="center"/>
      <protection/>
    </xf>
    <xf numFmtId="173" fontId="24" fillId="33" borderId="27" xfId="0" applyNumberFormat="1" applyFont="1" applyFill="1" applyBorder="1" applyAlignment="1" applyProtection="1">
      <alignment horizontal="center" vertical="center"/>
      <protection/>
    </xf>
    <xf numFmtId="173" fontId="24" fillId="41" borderId="27" xfId="0" applyNumberFormat="1" applyFont="1" applyFill="1" applyBorder="1" applyAlignment="1" applyProtection="1">
      <alignment horizontal="center" vertical="center"/>
      <protection/>
    </xf>
    <xf numFmtId="173" fontId="24" fillId="41" borderId="28" xfId="0" applyNumberFormat="1" applyFont="1" applyFill="1" applyBorder="1" applyAlignment="1" applyProtection="1">
      <alignment horizontal="center" vertical="center"/>
      <protection/>
    </xf>
    <xf numFmtId="0" fontId="0" fillId="41" borderId="29" xfId="0" applyFont="1" applyFill="1" applyBorder="1" applyAlignment="1" applyProtection="1">
      <alignment horizontal="center" vertical="center"/>
      <protection/>
    </xf>
    <xf numFmtId="0" fontId="24" fillId="41" borderId="29" xfId="0" applyFont="1" applyFill="1" applyBorder="1" applyAlignment="1" applyProtection="1">
      <alignment horizontal="right" vertical="center"/>
      <protection/>
    </xf>
    <xf numFmtId="0" fontId="24" fillId="41" borderId="29" xfId="0" applyFont="1" applyFill="1" applyBorder="1" applyAlignment="1" applyProtection="1">
      <alignment horizontal="center" vertical="center"/>
      <protection/>
    </xf>
    <xf numFmtId="0" fontId="24" fillId="41" borderId="29" xfId="0" applyFont="1" applyFill="1" applyBorder="1" applyAlignment="1" applyProtection="1">
      <alignment horizontal="left" vertical="center"/>
      <protection/>
    </xf>
    <xf numFmtId="0" fontId="24" fillId="41" borderId="22" xfId="0" applyFont="1" applyFill="1" applyBorder="1" applyAlignment="1" applyProtection="1">
      <alignment horizontal="right" vertical="center"/>
      <protection locked="0"/>
    </xf>
    <xf numFmtId="0" fontId="24" fillId="41" borderId="23" xfId="0" applyFont="1" applyFill="1" applyBorder="1" applyAlignment="1" applyProtection="1">
      <alignment horizontal="left" vertical="center"/>
      <protection locked="0"/>
    </xf>
    <xf numFmtId="0" fontId="24" fillId="33" borderId="24" xfId="0" applyFont="1" applyFill="1" applyBorder="1" applyAlignment="1" applyProtection="1">
      <alignment horizontal="left" vertical="center"/>
      <protection locked="0"/>
    </xf>
    <xf numFmtId="173" fontId="24" fillId="33" borderId="28" xfId="0" applyNumberFormat="1"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24" fillId="33" borderId="29" xfId="0" applyFont="1" applyFill="1" applyBorder="1" applyAlignment="1" applyProtection="1">
      <alignment horizontal="right" vertical="center"/>
      <protection/>
    </xf>
    <xf numFmtId="0" fontId="24" fillId="33" borderId="29" xfId="0" applyFont="1" applyFill="1" applyBorder="1" applyAlignment="1" applyProtection="1">
      <alignment horizontal="center" vertical="center"/>
      <protection/>
    </xf>
    <xf numFmtId="0" fontId="24" fillId="33" borderId="29" xfId="0" applyFont="1" applyFill="1" applyBorder="1" applyAlignment="1" applyProtection="1">
      <alignment horizontal="left" vertical="center"/>
      <protection/>
    </xf>
    <xf numFmtId="0" fontId="13" fillId="42" borderId="30" xfId="0" applyFont="1" applyFill="1" applyBorder="1" applyAlignment="1">
      <alignment horizontal="center" vertical="center"/>
    </xf>
    <xf numFmtId="0" fontId="13" fillId="42" borderId="0" xfId="0" applyFont="1" applyFill="1" applyBorder="1" applyAlignment="1">
      <alignment horizontal="center" vertical="center"/>
    </xf>
    <xf numFmtId="0" fontId="8" fillId="33" borderId="0" xfId="0" applyFont="1" applyFill="1" applyAlignment="1" applyProtection="1">
      <alignment horizontal="center" vertical="center" wrapText="1"/>
      <protection/>
    </xf>
    <xf numFmtId="0" fontId="0" fillId="41" borderId="11"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41" borderId="29" xfId="0" applyFont="1" applyFill="1" applyBorder="1" applyAlignment="1" applyProtection="1">
      <alignment horizontal="center" vertical="center"/>
      <protection/>
    </xf>
    <xf numFmtId="0" fontId="30" fillId="33" borderId="0" xfId="0" applyFont="1" applyFill="1" applyAlignment="1" applyProtection="1">
      <alignment horizontal="center"/>
      <protection locked="0"/>
    </xf>
    <xf numFmtId="0" fontId="0" fillId="33" borderId="26" xfId="0" applyFont="1" applyFill="1" applyBorder="1" applyAlignment="1" applyProtection="1">
      <alignment horizontal="center" vertical="center"/>
      <protection/>
    </xf>
    <xf numFmtId="0" fontId="0" fillId="0" borderId="10" xfId="0" applyBorder="1" applyAlignment="1">
      <alignment horizontal="center"/>
    </xf>
    <xf numFmtId="0" fontId="23" fillId="33" borderId="0" xfId="0" applyFont="1" applyFill="1" applyAlignment="1" applyProtection="1">
      <alignment horizontal="center"/>
      <protection/>
    </xf>
    <xf numFmtId="0" fontId="4" fillId="33" borderId="13"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33" borderId="11" xfId="0" applyFont="1" applyFill="1" applyBorder="1" applyAlignment="1" applyProtection="1">
      <alignment horizontal="center" vertical="top"/>
      <protection/>
    </xf>
    <xf numFmtId="0" fontId="24" fillId="40" borderId="0" xfId="0" applyFont="1" applyFill="1" applyBorder="1" applyAlignment="1" applyProtection="1">
      <alignment horizontal="left" vertical="center"/>
      <protection/>
    </xf>
    <xf numFmtId="0" fontId="30" fillId="33" borderId="0" xfId="0" applyFont="1" applyFill="1" applyAlignment="1" applyProtection="1">
      <alignment horizontal="center" vertical="top"/>
      <protection locked="0"/>
    </xf>
    <xf numFmtId="0" fontId="4" fillId="33" borderId="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1" fillId="34" borderId="18" xfId="0" applyFont="1" applyFill="1" applyBorder="1" applyAlignment="1" applyProtection="1">
      <alignment horizontal="center" vertical="center"/>
      <protection hidden="1"/>
    </xf>
    <xf numFmtId="0" fontId="1" fillId="34" borderId="19" xfId="0" applyFont="1" applyFill="1" applyBorder="1" applyAlignment="1" applyProtection="1">
      <alignment horizontal="center" vertical="center"/>
      <protection hidden="1"/>
    </xf>
    <xf numFmtId="0" fontId="24" fillId="33" borderId="11" xfId="0" applyFont="1" applyFill="1" applyBorder="1" applyAlignment="1" applyProtection="1">
      <alignment horizontal="left" vertical="center"/>
      <protection/>
    </xf>
    <xf numFmtId="0" fontId="0" fillId="0" borderId="11" xfId="0" applyBorder="1" applyAlignment="1">
      <alignment/>
    </xf>
    <xf numFmtId="0" fontId="0" fillId="0" borderId="12" xfId="0" applyBorder="1" applyAlignment="1">
      <alignment/>
    </xf>
    <xf numFmtId="0" fontId="25" fillId="33" borderId="11" xfId="0" applyFont="1" applyFill="1" applyBorder="1" applyAlignment="1" applyProtection="1">
      <alignment horizontal="center" vertical="top"/>
      <protection/>
    </xf>
    <xf numFmtId="0" fontId="0" fillId="0" borderId="11" xfId="0" applyBorder="1" applyAlignment="1">
      <alignment vertical="top"/>
    </xf>
    <xf numFmtId="0" fontId="1" fillId="33" borderId="11" xfId="0" applyFont="1" applyFill="1" applyBorder="1" applyAlignment="1" applyProtection="1">
      <alignment horizontal="center" vertical="top"/>
      <protection/>
    </xf>
    <xf numFmtId="0" fontId="47" fillId="33" borderId="11" xfId="0" applyFont="1" applyFill="1" applyBorder="1" applyAlignment="1" applyProtection="1">
      <alignment horizontal="left" vertical="center"/>
      <protection/>
    </xf>
    <xf numFmtId="0" fontId="1" fillId="33" borderId="0" xfId="0" applyFont="1" applyFill="1" applyBorder="1" applyAlignment="1" applyProtection="1">
      <alignment horizontal="center" vertical="top"/>
      <protection/>
    </xf>
    <xf numFmtId="0" fontId="0" fillId="0" borderId="0" xfId="0" applyBorder="1" applyAlignment="1">
      <alignment vertical="top"/>
    </xf>
    <xf numFmtId="0" fontId="0" fillId="33" borderId="0" xfId="0" applyFont="1" applyFill="1" applyAlignment="1" applyProtection="1">
      <alignment horizontal="center" vertical="center"/>
      <protection/>
    </xf>
    <xf numFmtId="0" fontId="60" fillId="33" borderId="0" xfId="0" applyFont="1" applyFill="1" applyAlignment="1" applyProtection="1">
      <alignment horizontal="center" vertical="center" wrapText="1"/>
      <protection/>
    </xf>
    <xf numFmtId="0" fontId="14" fillId="33" borderId="0" xfId="0" applyFont="1" applyFill="1" applyAlignment="1" applyProtection="1">
      <alignment horizontal="center"/>
      <protection/>
    </xf>
    <xf numFmtId="0" fontId="47" fillId="33" borderId="11" xfId="0" applyNumberFormat="1" applyFont="1" applyFill="1" applyBorder="1" applyAlignment="1" applyProtection="1">
      <alignment horizontal="left" vertical="center"/>
      <protection/>
    </xf>
    <xf numFmtId="0" fontId="1" fillId="34" borderId="27" xfId="0" applyFont="1" applyFill="1" applyBorder="1" applyAlignment="1" applyProtection="1">
      <alignment horizontal="center" vertical="center"/>
      <protection hidden="1"/>
    </xf>
    <xf numFmtId="0" fontId="1" fillId="34" borderId="11" xfId="0" applyFont="1" applyFill="1" applyBorder="1" applyAlignment="1" applyProtection="1">
      <alignment horizontal="center" vertical="center"/>
      <protection hidden="1"/>
    </xf>
    <xf numFmtId="0" fontId="1" fillId="34" borderId="32" xfId="0" applyFont="1" applyFill="1" applyBorder="1" applyAlignment="1" applyProtection="1">
      <alignment horizontal="center" vertical="center"/>
      <protection hidden="1"/>
    </xf>
    <xf numFmtId="0" fontId="6" fillId="33" borderId="27"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32" xfId="0" applyFont="1" applyFill="1" applyBorder="1" applyAlignment="1" applyProtection="1">
      <alignment horizontal="center" vertical="top"/>
      <protection/>
    </xf>
    <xf numFmtId="0" fontId="24" fillId="33" borderId="12" xfId="0" applyFont="1" applyFill="1" applyBorder="1" applyAlignment="1" applyProtection="1">
      <alignment horizontal="left" vertical="center"/>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top"/>
      <protection/>
    </xf>
    <xf numFmtId="0" fontId="6" fillId="33" borderId="19" xfId="0" applyFont="1" applyFill="1" applyBorder="1" applyAlignment="1" applyProtection="1">
      <alignment horizontal="center" vertical="top"/>
      <protection/>
    </xf>
    <xf numFmtId="0" fontId="6" fillId="33" borderId="34" xfId="0" applyFont="1" applyFill="1" applyBorder="1" applyAlignment="1" applyProtection="1">
      <alignment horizontal="center" vertical="top"/>
      <protection/>
    </xf>
    <xf numFmtId="0" fontId="6" fillId="33" borderId="23" xfId="0" applyFont="1" applyFill="1" applyBorder="1" applyAlignment="1" applyProtection="1">
      <alignment horizontal="center" vertical="top"/>
      <protection/>
    </xf>
    <xf numFmtId="0" fontId="6" fillId="33" borderId="28" xfId="0" applyFont="1" applyFill="1" applyBorder="1" applyAlignment="1" applyProtection="1">
      <alignment horizontal="center" vertical="top"/>
      <protection/>
    </xf>
    <xf numFmtId="0" fontId="6" fillId="33" borderId="29" xfId="0" applyFont="1" applyFill="1" applyBorder="1" applyAlignment="1" applyProtection="1">
      <alignment horizontal="center" vertical="top"/>
      <protection/>
    </xf>
    <xf numFmtId="0" fontId="6" fillId="33" borderId="35" xfId="0" applyFont="1" applyFill="1" applyBorder="1" applyAlignment="1" applyProtection="1">
      <alignment horizontal="center" vertical="top"/>
      <protection/>
    </xf>
    <xf numFmtId="0" fontId="4" fillId="33" borderId="36"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19" fillId="0" borderId="37" xfId="0" applyFont="1" applyFill="1" applyBorder="1" applyAlignment="1" applyProtection="1">
      <alignment horizontal="center"/>
      <protection/>
    </xf>
    <xf numFmtId="0" fontId="19" fillId="0" borderId="17" xfId="0" applyFont="1" applyFill="1" applyBorder="1" applyAlignment="1" applyProtection="1">
      <alignment horizontal="center"/>
      <protection/>
    </xf>
    <xf numFmtId="0" fontId="22" fillId="0" borderId="37" xfId="0" applyFont="1" applyFill="1" applyBorder="1" applyAlignment="1" applyProtection="1">
      <alignment horizontal="center" vertical="center"/>
      <protection/>
    </xf>
    <xf numFmtId="0" fontId="22" fillId="0" borderId="17" xfId="0"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3" fillId="0" borderId="37"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4</xdr:row>
      <xdr:rowOff>0</xdr:rowOff>
    </xdr:from>
    <xdr:to>
      <xdr:col>136</xdr:col>
      <xdr:colOff>0</xdr:colOff>
      <xdr:row>69</xdr:row>
      <xdr:rowOff>0</xdr:rowOff>
    </xdr:to>
    <xdr:sp>
      <xdr:nvSpPr>
        <xdr:cNvPr id="1" name="TextBox 4"/>
        <xdr:cNvSpPr txBox="1">
          <a:spLocks noChangeArrowheads="1"/>
        </xdr:cNvSpPr>
      </xdr:nvSpPr>
      <xdr:spPr>
        <a:xfrm>
          <a:off x="1028700" y="228600"/>
          <a:ext cx="6743700" cy="3714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sodass man nur in den  Feldern für die Ergebnisse Eintragungen vornehmen kann.
Unter "Vorgaben" können die Mannaschaften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oder " </a:t>
          </a:r>
          <a:r>
            <a:rPr lang="en-US" cap="none" sz="1000" b="1" i="0" u="none" baseline="0">
              <a:solidFill>
                <a:srgbClr val="3333CC"/>
              </a:solidFill>
              <a:latin typeface="Arial"/>
              <a:ea typeface="Arial"/>
              <a:cs typeface="Arial"/>
            </a:rPr>
            <a:t>Tabellen Zwischen</a:t>
          </a:r>
          <a:r>
            <a:rPr lang="en-US" cap="none" sz="1000" b="1" i="0" u="none" baseline="0">
              <a:solidFill>
                <a:srgbClr val="FF0000"/>
              </a:solidFill>
              <a:latin typeface="Arial"/>
              <a:ea typeface="Arial"/>
              <a:cs typeface="Arial"/>
            </a:rPr>
            <a:t>runden</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Zwischenrundenspielplan auch manuell die Mannschaften ändern, wenn eine andere Manschaft in die Gruppe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 können Sie ebenfalls in den grauen Feldern Mannschaftseintragungen des System manuell ändern.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124</xdr:col>
      <xdr:colOff>0</xdr:colOff>
      <xdr:row>61</xdr:row>
      <xdr:rowOff>0</xdr:rowOff>
    </xdr:from>
    <xdr:to>
      <xdr:col>137</xdr:col>
      <xdr:colOff>9525</xdr:colOff>
      <xdr:row>81</xdr:row>
      <xdr:rowOff>0</xdr:rowOff>
    </xdr:to>
    <xdr:pic>
      <xdr:nvPicPr>
        <xdr:cNvPr id="2" name="Grafik 1"/>
        <xdr:cNvPicPr preferRelativeResize="1">
          <a:picLocks noChangeAspect="1"/>
        </xdr:cNvPicPr>
      </xdr:nvPicPr>
      <xdr:blipFill>
        <a:blip r:embed="rId1"/>
        <a:stretch>
          <a:fillRect/>
        </a:stretch>
      </xdr:blipFill>
      <xdr:spPr>
        <a:xfrm>
          <a:off x="7086600" y="3486150"/>
          <a:ext cx="7524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03"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9"/>
  <dimension ref="A1:B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125" t="s">
        <v>35</v>
      </c>
      <c r="B1" s="28"/>
    </row>
    <row r="2" spans="1:2" ht="102.75" customHeight="1">
      <c r="A2" s="126"/>
      <c r="B2" s="127"/>
    </row>
    <row r="3" spans="1:2" ht="112.5" customHeight="1">
      <c r="A3" s="126"/>
      <c r="B3" s="126"/>
    </row>
    <row r="4" spans="1:2" ht="112.5" customHeight="1">
      <c r="A4" s="126"/>
      <c r="B4" s="126"/>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5"/>
  <sheetViews>
    <sheetView zoomScalePageLayoutView="0" workbookViewId="0" topLeftCell="A1">
      <selection activeCell="G13" sqref="G13"/>
    </sheetView>
  </sheetViews>
  <sheetFormatPr defaultColWidth="11.421875" defaultRowHeight="12.75"/>
  <cols>
    <col min="1" max="1" width="29.00390625" style="2" customWidth="1"/>
    <col min="2" max="2" width="29.0039062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98" t="s">
        <v>19</v>
      </c>
      <c r="D1" s="199"/>
      <c r="E1" s="199"/>
    </row>
    <row r="2" spans="1:4" ht="18" customHeight="1">
      <c r="A2" s="161" t="s">
        <v>107</v>
      </c>
      <c r="B2" s="162" t="s">
        <v>123</v>
      </c>
      <c r="C2" s="4" t="s">
        <v>20</v>
      </c>
      <c r="D2" s="5" t="s">
        <v>21</v>
      </c>
    </row>
    <row r="3" spans="1:4" ht="18" customHeight="1">
      <c r="A3" s="161" t="s">
        <v>108</v>
      </c>
      <c r="B3" s="162" t="s">
        <v>124</v>
      </c>
      <c r="C3" s="4" t="s">
        <v>4</v>
      </c>
      <c r="D3" s="50">
        <v>0.009722222222222222</v>
      </c>
    </row>
    <row r="4" spans="1:3" ht="18" customHeight="1">
      <c r="A4" s="161" t="s">
        <v>109</v>
      </c>
      <c r="B4" s="162" t="s">
        <v>125</v>
      </c>
      <c r="C4" s="4" t="s">
        <v>37</v>
      </c>
    </row>
    <row r="5" spans="1:4" ht="18" customHeight="1">
      <c r="A5" s="161" t="s">
        <v>110</v>
      </c>
      <c r="B5" s="162" t="s">
        <v>126</v>
      </c>
      <c r="C5" s="4" t="s">
        <v>5</v>
      </c>
      <c r="D5" s="51">
        <v>0.0006944444444444445</v>
      </c>
    </row>
    <row r="6" spans="1:4" ht="14.25" customHeight="1">
      <c r="A6" s="86"/>
      <c r="B6" s="86"/>
      <c r="C6" s="7" t="s">
        <v>22</v>
      </c>
      <c r="D6" s="6"/>
    </row>
    <row r="7" spans="3:4" ht="14.25" customHeight="1">
      <c r="C7" s="4" t="s">
        <v>5</v>
      </c>
      <c r="D7" s="52">
        <v>0.006944444444444444</v>
      </c>
    </row>
    <row r="8" spans="1:3" ht="33" customHeight="1">
      <c r="A8" s="8" t="s">
        <v>6</v>
      </c>
      <c r="B8" s="8" t="s">
        <v>7</v>
      </c>
      <c r="C8" s="7" t="s">
        <v>65</v>
      </c>
    </row>
    <row r="9" spans="1:4" ht="18" customHeight="1">
      <c r="A9" s="163" t="s">
        <v>112</v>
      </c>
      <c r="B9" s="164" t="s">
        <v>115</v>
      </c>
      <c r="C9" s="4" t="s">
        <v>5</v>
      </c>
      <c r="D9" s="52">
        <v>0.007638888888888889</v>
      </c>
    </row>
    <row r="10" spans="1:3" ht="18" customHeight="1">
      <c r="A10" s="163" t="s">
        <v>113</v>
      </c>
      <c r="B10" s="164" t="s">
        <v>116</v>
      </c>
      <c r="C10" s="159" t="s">
        <v>106</v>
      </c>
    </row>
    <row r="11" spans="1:4" ht="18" customHeight="1">
      <c r="A11" s="163" t="s">
        <v>114</v>
      </c>
      <c r="B11" s="164" t="s">
        <v>117</v>
      </c>
      <c r="C11" s="105" t="s">
        <v>160</v>
      </c>
      <c r="D11" s="52">
        <v>0.004166666666666667</v>
      </c>
    </row>
    <row r="12" spans="1:4" ht="18" customHeight="1">
      <c r="A12" s="163" t="s">
        <v>111</v>
      </c>
      <c r="B12" s="164" t="s">
        <v>118</v>
      </c>
      <c r="C12" s="115" t="s">
        <v>23</v>
      </c>
      <c r="D12" s="115"/>
    </row>
    <row r="13" spans="1:4" ht="18" customHeight="1">
      <c r="A13" s="86"/>
      <c r="B13" s="86"/>
      <c r="C13" s="116" t="s">
        <v>64</v>
      </c>
      <c r="D13" s="117">
        <v>0.7916666666666666</v>
      </c>
    </row>
    <row r="14" ht="12.75">
      <c r="C14" s="115" t="s">
        <v>41</v>
      </c>
    </row>
    <row r="15" spans="1:4" ht="18" customHeight="1">
      <c r="A15" s="86"/>
      <c r="B15" s="86"/>
      <c r="C15" s="116" t="s">
        <v>64</v>
      </c>
      <c r="D15" s="117">
        <f>Spielplan!A37+D7</f>
        <v>0.8506944444444442</v>
      </c>
    </row>
    <row r="16" ht="12.75"/>
    <row r="17" ht="12.75"/>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L67"/>
  <sheetViews>
    <sheetView zoomScale="125" zoomScaleNormal="125" zoomScalePageLayoutView="0" workbookViewId="0" topLeftCell="A1">
      <selection activeCell="I15" sqref="I15"/>
    </sheetView>
  </sheetViews>
  <sheetFormatPr defaultColWidth="11.421875" defaultRowHeight="12.75"/>
  <cols>
    <col min="1" max="1" width="14.421875" style="62" customWidth="1"/>
    <col min="2" max="2" width="5.8515625" style="60" customWidth="1"/>
    <col min="3" max="3" width="3.57421875" style="55" customWidth="1"/>
    <col min="4" max="4" width="3.7109375" style="55" customWidth="1"/>
    <col min="5" max="5" width="29.00390625" style="55" customWidth="1"/>
    <col min="6" max="6" width="1.57421875" style="53" customWidth="1"/>
    <col min="7" max="7" width="29.00390625" style="55" customWidth="1"/>
    <col min="8" max="8" width="4.57421875" style="53" customWidth="1"/>
    <col min="9" max="9" width="1.7109375" style="55" customWidth="1"/>
    <col min="10" max="10" width="4.57421875" style="53" customWidth="1"/>
    <col min="11" max="16384" width="11.421875" style="53" customWidth="1"/>
  </cols>
  <sheetData>
    <row r="1" spans="1:10" s="54" customFormat="1" ht="16.5" customHeight="1">
      <c r="A1" s="208" t="s">
        <v>119</v>
      </c>
      <c r="B1" s="209"/>
      <c r="C1" s="209"/>
      <c r="D1" s="210"/>
      <c r="E1" s="53"/>
      <c r="G1" s="211" t="s">
        <v>121</v>
      </c>
      <c r="H1" s="211"/>
      <c r="I1" s="119"/>
      <c r="J1" s="119"/>
    </row>
    <row r="2" spans="1:10" ht="12.75">
      <c r="A2" s="212" t="str">
        <f>Vorgaben!A2</f>
        <v>Tisch 1 A1</v>
      </c>
      <c r="B2" s="213"/>
      <c r="C2" s="213"/>
      <c r="D2" s="214"/>
      <c r="E2" s="53"/>
      <c r="G2" s="206" t="str">
        <f>Vorgaben!B2</f>
        <v>Tisch 2 C1</v>
      </c>
      <c r="H2" s="206"/>
      <c r="I2" s="124"/>
      <c r="J2" s="124"/>
    </row>
    <row r="3" spans="1:10" ht="12.75">
      <c r="A3" s="212" t="str">
        <f>Vorgaben!A3</f>
        <v>Tisch 1 A2</v>
      </c>
      <c r="B3" s="213"/>
      <c r="C3" s="213"/>
      <c r="D3" s="214"/>
      <c r="E3" s="53"/>
      <c r="G3" s="206" t="str">
        <f>Vorgaben!B3</f>
        <v>Tisch 2 C2</v>
      </c>
      <c r="H3" s="206"/>
      <c r="I3" s="124"/>
      <c r="J3" s="124"/>
    </row>
    <row r="4" spans="1:10" ht="12.75">
      <c r="A4" s="212" t="str">
        <f>Vorgaben!A4</f>
        <v>Tisch 1 A3</v>
      </c>
      <c r="B4" s="213"/>
      <c r="C4" s="213"/>
      <c r="D4" s="214"/>
      <c r="E4" s="53"/>
      <c r="G4" s="206" t="str">
        <f>Vorgaben!B4</f>
        <v>Tisch 2 C3</v>
      </c>
      <c r="H4" s="206"/>
      <c r="I4" s="124"/>
      <c r="J4" s="124"/>
    </row>
    <row r="5" spans="1:10" ht="12.75">
      <c r="A5" s="212" t="str">
        <f>Vorgaben!A5</f>
        <v>Tisch 1 A4</v>
      </c>
      <c r="B5" s="213"/>
      <c r="C5" s="213"/>
      <c r="D5" s="214"/>
      <c r="E5" s="53"/>
      <c r="G5" s="206" t="str">
        <f>Vorgaben!B5</f>
        <v>Tisch 2 C4</v>
      </c>
      <c r="H5" s="206"/>
      <c r="I5" s="124"/>
      <c r="J5" s="124"/>
    </row>
    <row r="6" spans="7:10" ht="24.75" customHeight="1">
      <c r="G6" s="122"/>
      <c r="H6" s="123"/>
      <c r="I6" s="122"/>
      <c r="J6" s="123"/>
    </row>
    <row r="7" spans="1:10" ht="12.75">
      <c r="A7" s="208" t="s">
        <v>120</v>
      </c>
      <c r="B7" s="209" t="s">
        <v>1</v>
      </c>
      <c r="C7" s="209" t="s">
        <v>2</v>
      </c>
      <c r="D7" s="210"/>
      <c r="G7" s="208" t="s">
        <v>122</v>
      </c>
      <c r="H7" s="210"/>
      <c r="I7" s="119"/>
      <c r="J7" s="119"/>
    </row>
    <row r="8" spans="1:10" ht="12.75">
      <c r="A8" s="212" t="str">
        <f>Vorgaben!A9</f>
        <v>Tisch 2 B1</v>
      </c>
      <c r="B8" s="213"/>
      <c r="C8" s="213"/>
      <c r="D8" s="214"/>
      <c r="G8" s="206" t="str">
        <f>Vorgaben!B9</f>
        <v>Tisch 4 D1</v>
      </c>
      <c r="H8" s="206"/>
      <c r="I8" s="124"/>
      <c r="J8" s="124"/>
    </row>
    <row r="9" spans="1:10" ht="12.75">
      <c r="A9" s="212" t="str">
        <f>Vorgaben!A10</f>
        <v>Tisch 2 B2</v>
      </c>
      <c r="B9" s="213"/>
      <c r="C9" s="213"/>
      <c r="D9" s="214"/>
      <c r="G9" s="206" t="str">
        <f>Vorgaben!B10</f>
        <v>Tisch 4 D2</v>
      </c>
      <c r="H9" s="206"/>
      <c r="I9" s="124"/>
      <c r="J9" s="124"/>
    </row>
    <row r="10" spans="1:10" ht="12.75">
      <c r="A10" s="212" t="str">
        <f>Vorgaben!A11</f>
        <v>Tisch 2 B3</v>
      </c>
      <c r="B10" s="213"/>
      <c r="C10" s="213"/>
      <c r="D10" s="214"/>
      <c r="G10" s="206" t="str">
        <f>Vorgaben!B11</f>
        <v>Tisch 4 D3</v>
      </c>
      <c r="H10" s="206"/>
      <c r="I10" s="124"/>
      <c r="J10" s="124"/>
    </row>
    <row r="11" spans="1:10" ht="12.75">
      <c r="A11" s="212" t="str">
        <f>Vorgaben!A12</f>
        <v>Tisch 2 B4</v>
      </c>
      <c r="B11" s="213"/>
      <c r="C11" s="213"/>
      <c r="D11" s="214"/>
      <c r="G11" s="206" t="str">
        <f>Vorgaben!B12</f>
        <v>Tisch 4 D4</v>
      </c>
      <c r="H11" s="206"/>
      <c r="I11" s="124"/>
      <c r="J11" s="124"/>
    </row>
    <row r="13" spans="1:10" s="56" customFormat="1" ht="33" customHeight="1" thickBot="1">
      <c r="A13" s="56" t="s">
        <v>8</v>
      </c>
      <c r="B13" s="56" t="s">
        <v>9</v>
      </c>
      <c r="C13" s="200" t="s">
        <v>10</v>
      </c>
      <c r="D13" s="200"/>
      <c r="E13" s="57" t="s">
        <v>11</v>
      </c>
      <c r="F13" s="57"/>
      <c r="G13" s="57"/>
      <c r="H13" s="58" t="s">
        <v>12</v>
      </c>
      <c r="I13" s="59"/>
      <c r="J13" s="59"/>
    </row>
    <row r="14" spans="1:10" s="102" customFormat="1" ht="19.5" customHeight="1">
      <c r="A14" s="178">
        <f>Vorgaben!D13</f>
        <v>0.7916666666666666</v>
      </c>
      <c r="B14" s="179">
        <v>1</v>
      </c>
      <c r="C14" s="205" t="s">
        <v>119</v>
      </c>
      <c r="D14" s="205"/>
      <c r="E14" s="180" t="str">
        <f>A2</f>
        <v>Tisch 1 A1</v>
      </c>
      <c r="F14" s="181" t="s">
        <v>13</v>
      </c>
      <c r="G14" s="182" t="str">
        <f>A3</f>
        <v>Tisch 1 A2</v>
      </c>
      <c r="H14" s="165">
        <v>1</v>
      </c>
      <c r="I14" s="181" t="s">
        <v>14</v>
      </c>
      <c r="J14" s="166">
        <v>1</v>
      </c>
    </row>
    <row r="15" spans="1:10" s="102" customFormat="1" ht="19.5" customHeight="1">
      <c r="A15" s="183">
        <f>A14</f>
        <v>0.7916666666666666</v>
      </c>
      <c r="B15" s="138">
        <v>2</v>
      </c>
      <c r="C15" s="202" t="s">
        <v>120</v>
      </c>
      <c r="D15" s="202"/>
      <c r="E15" s="171" t="str">
        <f>A8</f>
        <v>Tisch 2 B1</v>
      </c>
      <c r="F15" s="140" t="s">
        <v>13</v>
      </c>
      <c r="G15" s="160" t="str">
        <f>A9</f>
        <v>Tisch 2 B2</v>
      </c>
      <c r="H15" s="100">
        <v>1</v>
      </c>
      <c r="I15" s="140" t="s">
        <v>14</v>
      </c>
      <c r="J15" s="167">
        <v>1</v>
      </c>
    </row>
    <row r="16" spans="1:10" s="102" customFormat="1" ht="19.5" customHeight="1">
      <c r="A16" s="183">
        <f>A15</f>
        <v>0.7916666666666666</v>
      </c>
      <c r="B16" s="138">
        <v>3</v>
      </c>
      <c r="C16" s="202" t="s">
        <v>121</v>
      </c>
      <c r="D16" s="202"/>
      <c r="E16" s="171" t="str">
        <f>G2</f>
        <v>Tisch 2 C1</v>
      </c>
      <c r="F16" s="140" t="s">
        <v>13</v>
      </c>
      <c r="G16" s="160" t="str">
        <f>G3</f>
        <v>Tisch 2 C2</v>
      </c>
      <c r="H16" s="100">
        <v>1</v>
      </c>
      <c r="I16" s="140" t="s">
        <v>14</v>
      </c>
      <c r="J16" s="167">
        <v>1</v>
      </c>
    </row>
    <row r="17" spans="1:10" s="102" customFormat="1" ht="19.5" customHeight="1">
      <c r="A17" s="183">
        <f>A16</f>
        <v>0.7916666666666666</v>
      </c>
      <c r="B17" s="138">
        <v>4</v>
      </c>
      <c r="C17" s="202" t="s">
        <v>122</v>
      </c>
      <c r="D17" s="202"/>
      <c r="E17" s="171" t="str">
        <f>G8</f>
        <v>Tisch 4 D1</v>
      </c>
      <c r="F17" s="140" t="s">
        <v>13</v>
      </c>
      <c r="G17" s="160" t="str">
        <f>G9</f>
        <v>Tisch 4 D2</v>
      </c>
      <c r="H17" s="100">
        <v>1</v>
      </c>
      <c r="I17" s="140" t="s">
        <v>14</v>
      </c>
      <c r="J17" s="167">
        <v>1</v>
      </c>
    </row>
    <row r="18" spans="1:10" s="102" customFormat="1" ht="19.5" customHeight="1">
      <c r="A18" s="184">
        <f>A17+Vorgaben!$D$3+Vorgaben!$D$5</f>
        <v>0.8020833333333333</v>
      </c>
      <c r="B18" s="174">
        <v>5</v>
      </c>
      <c r="C18" s="201" t="s">
        <v>119</v>
      </c>
      <c r="D18" s="201"/>
      <c r="E18" s="175" t="str">
        <f>A4</f>
        <v>Tisch 1 A3</v>
      </c>
      <c r="F18" s="176" t="s">
        <v>13</v>
      </c>
      <c r="G18" s="177" t="str">
        <f>A5</f>
        <v>Tisch 1 A4</v>
      </c>
      <c r="H18" s="172">
        <v>1</v>
      </c>
      <c r="I18" s="176" t="s">
        <v>14</v>
      </c>
      <c r="J18" s="173">
        <v>1</v>
      </c>
    </row>
    <row r="19" spans="1:10" s="102" customFormat="1" ht="19.5" customHeight="1">
      <c r="A19" s="184">
        <f>A18</f>
        <v>0.8020833333333333</v>
      </c>
      <c r="B19" s="174">
        <v>6</v>
      </c>
      <c r="C19" s="201" t="s">
        <v>120</v>
      </c>
      <c r="D19" s="201"/>
      <c r="E19" s="175" t="str">
        <f>A10</f>
        <v>Tisch 2 B3</v>
      </c>
      <c r="F19" s="176" t="s">
        <v>13</v>
      </c>
      <c r="G19" s="177" t="str">
        <f>A11</f>
        <v>Tisch 2 B4</v>
      </c>
      <c r="H19" s="172">
        <v>1</v>
      </c>
      <c r="I19" s="176" t="s">
        <v>14</v>
      </c>
      <c r="J19" s="173">
        <v>1</v>
      </c>
    </row>
    <row r="20" spans="1:10" s="102" customFormat="1" ht="19.5" customHeight="1">
      <c r="A20" s="184">
        <f>A19</f>
        <v>0.8020833333333333</v>
      </c>
      <c r="B20" s="174">
        <v>7</v>
      </c>
      <c r="C20" s="201" t="s">
        <v>121</v>
      </c>
      <c r="D20" s="201"/>
      <c r="E20" s="175" t="str">
        <f>G4</f>
        <v>Tisch 2 C3</v>
      </c>
      <c r="F20" s="176" t="s">
        <v>13</v>
      </c>
      <c r="G20" s="177" t="str">
        <f>G5</f>
        <v>Tisch 2 C4</v>
      </c>
      <c r="H20" s="172">
        <v>1</v>
      </c>
      <c r="I20" s="176" t="s">
        <v>14</v>
      </c>
      <c r="J20" s="173">
        <v>1</v>
      </c>
    </row>
    <row r="21" spans="1:10" s="102" customFormat="1" ht="19.5" customHeight="1">
      <c r="A21" s="184">
        <f>A20</f>
        <v>0.8020833333333333</v>
      </c>
      <c r="B21" s="174">
        <v>8</v>
      </c>
      <c r="C21" s="201" t="s">
        <v>122</v>
      </c>
      <c r="D21" s="201"/>
      <c r="E21" s="175" t="str">
        <f>G10</f>
        <v>Tisch 4 D3</v>
      </c>
      <c r="F21" s="176" t="s">
        <v>13</v>
      </c>
      <c r="G21" s="177" t="str">
        <f>G11</f>
        <v>Tisch 4 D4</v>
      </c>
      <c r="H21" s="172">
        <v>1</v>
      </c>
      <c r="I21" s="176" t="s">
        <v>14</v>
      </c>
      <c r="J21" s="173">
        <v>1</v>
      </c>
    </row>
    <row r="22" spans="1:10" s="102" customFormat="1" ht="19.5" customHeight="1">
      <c r="A22" s="183">
        <f>A21+Vorgaben!$D$3+Vorgaben!$D$5</f>
        <v>0.8124999999999999</v>
      </c>
      <c r="B22" s="138">
        <v>9</v>
      </c>
      <c r="C22" s="202" t="s">
        <v>119</v>
      </c>
      <c r="D22" s="202"/>
      <c r="E22" s="171" t="str">
        <f>A5</f>
        <v>Tisch 1 A4</v>
      </c>
      <c r="F22" s="140" t="s">
        <v>13</v>
      </c>
      <c r="G22" s="160" t="str">
        <f>A2</f>
        <v>Tisch 1 A1</v>
      </c>
      <c r="H22" s="100">
        <v>1</v>
      </c>
      <c r="I22" s="140" t="s">
        <v>14</v>
      </c>
      <c r="J22" s="167">
        <v>1</v>
      </c>
    </row>
    <row r="23" spans="1:10" s="102" customFormat="1" ht="19.5" customHeight="1">
      <c r="A23" s="183">
        <f>A22</f>
        <v>0.8124999999999999</v>
      </c>
      <c r="B23" s="138">
        <v>10</v>
      </c>
      <c r="C23" s="202" t="s">
        <v>120</v>
      </c>
      <c r="D23" s="202"/>
      <c r="E23" s="171" t="str">
        <f>A11</f>
        <v>Tisch 2 B4</v>
      </c>
      <c r="F23" s="140" t="s">
        <v>13</v>
      </c>
      <c r="G23" s="160" t="str">
        <f>A8</f>
        <v>Tisch 2 B1</v>
      </c>
      <c r="H23" s="100">
        <v>1</v>
      </c>
      <c r="I23" s="140" t="s">
        <v>14</v>
      </c>
      <c r="J23" s="167">
        <v>1</v>
      </c>
    </row>
    <row r="24" spans="1:10" s="102" customFormat="1" ht="19.5" customHeight="1">
      <c r="A24" s="183">
        <f>A23</f>
        <v>0.8124999999999999</v>
      </c>
      <c r="B24" s="138">
        <v>11</v>
      </c>
      <c r="C24" s="202" t="s">
        <v>121</v>
      </c>
      <c r="D24" s="202"/>
      <c r="E24" s="171" t="str">
        <f>G5</f>
        <v>Tisch 2 C4</v>
      </c>
      <c r="F24" s="140" t="s">
        <v>13</v>
      </c>
      <c r="G24" s="160" t="str">
        <f>G2</f>
        <v>Tisch 2 C1</v>
      </c>
      <c r="H24" s="100">
        <v>1</v>
      </c>
      <c r="I24" s="140" t="s">
        <v>14</v>
      </c>
      <c r="J24" s="167">
        <v>1</v>
      </c>
    </row>
    <row r="25" spans="1:10" s="102" customFormat="1" ht="19.5" customHeight="1">
      <c r="A25" s="183">
        <f>A24</f>
        <v>0.8124999999999999</v>
      </c>
      <c r="B25" s="138">
        <v>12</v>
      </c>
      <c r="C25" s="202" t="s">
        <v>122</v>
      </c>
      <c r="D25" s="202"/>
      <c r="E25" s="171" t="str">
        <f>G11</f>
        <v>Tisch 4 D4</v>
      </c>
      <c r="F25" s="140" t="s">
        <v>13</v>
      </c>
      <c r="G25" s="160" t="str">
        <f>G8</f>
        <v>Tisch 4 D1</v>
      </c>
      <c r="H25" s="100">
        <v>1</v>
      </c>
      <c r="I25" s="140" t="s">
        <v>14</v>
      </c>
      <c r="J25" s="167">
        <v>1</v>
      </c>
    </row>
    <row r="26" spans="1:10" s="102" customFormat="1" ht="19.5" customHeight="1">
      <c r="A26" s="184">
        <f>A25+Vorgaben!$D$3+Vorgaben!$D$5</f>
        <v>0.8229166666666665</v>
      </c>
      <c r="B26" s="174">
        <v>13</v>
      </c>
      <c r="C26" s="201" t="s">
        <v>119</v>
      </c>
      <c r="D26" s="201"/>
      <c r="E26" s="175" t="str">
        <f>A3</f>
        <v>Tisch 1 A2</v>
      </c>
      <c r="F26" s="176" t="s">
        <v>13</v>
      </c>
      <c r="G26" s="177" t="str">
        <f>A4</f>
        <v>Tisch 1 A3</v>
      </c>
      <c r="H26" s="172">
        <v>1</v>
      </c>
      <c r="I26" s="176" t="s">
        <v>14</v>
      </c>
      <c r="J26" s="173">
        <v>1</v>
      </c>
    </row>
    <row r="27" spans="1:10" s="102" customFormat="1" ht="19.5" customHeight="1">
      <c r="A27" s="184">
        <f>A26</f>
        <v>0.8229166666666665</v>
      </c>
      <c r="B27" s="174">
        <v>14</v>
      </c>
      <c r="C27" s="201" t="s">
        <v>120</v>
      </c>
      <c r="D27" s="201"/>
      <c r="E27" s="175" t="str">
        <f>A9</f>
        <v>Tisch 2 B2</v>
      </c>
      <c r="F27" s="176" t="s">
        <v>13</v>
      </c>
      <c r="G27" s="177" t="str">
        <f>A10</f>
        <v>Tisch 2 B3</v>
      </c>
      <c r="H27" s="172">
        <v>1</v>
      </c>
      <c r="I27" s="176" t="s">
        <v>14</v>
      </c>
      <c r="J27" s="173">
        <v>1</v>
      </c>
    </row>
    <row r="28" spans="1:10" s="102" customFormat="1" ht="19.5" customHeight="1">
      <c r="A28" s="184">
        <f>A27</f>
        <v>0.8229166666666665</v>
      </c>
      <c r="B28" s="174">
        <v>15</v>
      </c>
      <c r="C28" s="201" t="s">
        <v>121</v>
      </c>
      <c r="D28" s="201"/>
      <c r="E28" s="175" t="str">
        <f>G3</f>
        <v>Tisch 2 C2</v>
      </c>
      <c r="F28" s="176" t="s">
        <v>13</v>
      </c>
      <c r="G28" s="177" t="str">
        <f>G4</f>
        <v>Tisch 2 C3</v>
      </c>
      <c r="H28" s="172">
        <v>1</v>
      </c>
      <c r="I28" s="176" t="s">
        <v>14</v>
      </c>
      <c r="J28" s="173">
        <v>1</v>
      </c>
    </row>
    <row r="29" spans="1:10" s="102" customFormat="1" ht="19.5" customHeight="1">
      <c r="A29" s="184">
        <f>A28</f>
        <v>0.8229166666666665</v>
      </c>
      <c r="B29" s="174">
        <v>16</v>
      </c>
      <c r="C29" s="201" t="s">
        <v>122</v>
      </c>
      <c r="D29" s="201"/>
      <c r="E29" s="175" t="str">
        <f>G9</f>
        <v>Tisch 4 D2</v>
      </c>
      <c r="F29" s="176" t="s">
        <v>13</v>
      </c>
      <c r="G29" s="177" t="str">
        <f>G10</f>
        <v>Tisch 4 D3</v>
      </c>
      <c r="H29" s="172">
        <v>1</v>
      </c>
      <c r="I29" s="176" t="s">
        <v>14</v>
      </c>
      <c r="J29" s="173">
        <v>1</v>
      </c>
    </row>
    <row r="30" spans="1:10" s="102" customFormat="1" ht="19.5" customHeight="1">
      <c r="A30" s="183">
        <f>A29+Vorgaben!$D$3+Vorgaben!$D$5</f>
        <v>0.8333333333333331</v>
      </c>
      <c r="B30" s="138">
        <v>17</v>
      </c>
      <c r="C30" s="202" t="s">
        <v>119</v>
      </c>
      <c r="D30" s="202"/>
      <c r="E30" s="171" t="str">
        <f>A2</f>
        <v>Tisch 1 A1</v>
      </c>
      <c r="F30" s="140" t="s">
        <v>13</v>
      </c>
      <c r="G30" s="160" t="str">
        <f>A4</f>
        <v>Tisch 1 A3</v>
      </c>
      <c r="H30" s="100">
        <v>1</v>
      </c>
      <c r="I30" s="140" t="s">
        <v>14</v>
      </c>
      <c r="J30" s="167">
        <v>1</v>
      </c>
    </row>
    <row r="31" spans="1:10" s="102" customFormat="1" ht="19.5" customHeight="1">
      <c r="A31" s="183">
        <f>A30</f>
        <v>0.8333333333333331</v>
      </c>
      <c r="B31" s="138">
        <v>18</v>
      </c>
      <c r="C31" s="202" t="s">
        <v>120</v>
      </c>
      <c r="D31" s="202"/>
      <c r="E31" s="171" t="str">
        <f>A8</f>
        <v>Tisch 2 B1</v>
      </c>
      <c r="F31" s="140" t="s">
        <v>13</v>
      </c>
      <c r="G31" s="160" t="str">
        <f>A10</f>
        <v>Tisch 2 B3</v>
      </c>
      <c r="H31" s="100">
        <v>1</v>
      </c>
      <c r="I31" s="140" t="s">
        <v>14</v>
      </c>
      <c r="J31" s="167">
        <v>1</v>
      </c>
    </row>
    <row r="32" spans="1:10" s="102" customFormat="1" ht="19.5" customHeight="1">
      <c r="A32" s="183">
        <f>A31</f>
        <v>0.8333333333333331</v>
      </c>
      <c r="B32" s="138">
        <v>19</v>
      </c>
      <c r="C32" s="202" t="s">
        <v>121</v>
      </c>
      <c r="D32" s="202"/>
      <c r="E32" s="171" t="str">
        <f>G2</f>
        <v>Tisch 2 C1</v>
      </c>
      <c r="F32" s="140" t="s">
        <v>13</v>
      </c>
      <c r="G32" s="160" t="str">
        <f>G4</f>
        <v>Tisch 2 C3</v>
      </c>
      <c r="H32" s="100">
        <v>1</v>
      </c>
      <c r="I32" s="140" t="s">
        <v>14</v>
      </c>
      <c r="J32" s="167">
        <v>1</v>
      </c>
    </row>
    <row r="33" spans="1:10" s="102" customFormat="1" ht="19.5" customHeight="1">
      <c r="A33" s="183">
        <f>A32</f>
        <v>0.8333333333333331</v>
      </c>
      <c r="B33" s="138">
        <v>20</v>
      </c>
      <c r="C33" s="202" t="s">
        <v>122</v>
      </c>
      <c r="D33" s="202"/>
      <c r="E33" s="171" t="str">
        <f>G8</f>
        <v>Tisch 4 D1</v>
      </c>
      <c r="F33" s="140" t="s">
        <v>13</v>
      </c>
      <c r="G33" s="160" t="str">
        <f>G10</f>
        <v>Tisch 4 D3</v>
      </c>
      <c r="H33" s="100">
        <v>1</v>
      </c>
      <c r="I33" s="140" t="s">
        <v>14</v>
      </c>
      <c r="J33" s="167">
        <v>1</v>
      </c>
    </row>
    <row r="34" spans="1:10" s="102" customFormat="1" ht="19.5" customHeight="1">
      <c r="A34" s="184">
        <f>A33+Vorgaben!$D$3+Vorgaben!$D$5</f>
        <v>0.8437499999999998</v>
      </c>
      <c r="B34" s="174">
        <v>21</v>
      </c>
      <c r="C34" s="201" t="s">
        <v>119</v>
      </c>
      <c r="D34" s="201"/>
      <c r="E34" s="175" t="str">
        <f>A3</f>
        <v>Tisch 1 A2</v>
      </c>
      <c r="F34" s="176" t="s">
        <v>13</v>
      </c>
      <c r="G34" s="177" t="str">
        <f>A5</f>
        <v>Tisch 1 A4</v>
      </c>
      <c r="H34" s="172">
        <v>1</v>
      </c>
      <c r="I34" s="176" t="s">
        <v>14</v>
      </c>
      <c r="J34" s="173">
        <v>1</v>
      </c>
    </row>
    <row r="35" spans="1:10" s="102" customFormat="1" ht="19.5" customHeight="1">
      <c r="A35" s="184">
        <f>A34</f>
        <v>0.8437499999999998</v>
      </c>
      <c r="B35" s="174">
        <v>22</v>
      </c>
      <c r="C35" s="201" t="s">
        <v>120</v>
      </c>
      <c r="D35" s="201"/>
      <c r="E35" s="175" t="str">
        <f>A9</f>
        <v>Tisch 2 B2</v>
      </c>
      <c r="F35" s="176" t="s">
        <v>13</v>
      </c>
      <c r="G35" s="177" t="str">
        <f>A11</f>
        <v>Tisch 2 B4</v>
      </c>
      <c r="H35" s="172">
        <v>1</v>
      </c>
      <c r="I35" s="176" t="s">
        <v>14</v>
      </c>
      <c r="J35" s="173">
        <v>1</v>
      </c>
    </row>
    <row r="36" spans="1:10" s="102" customFormat="1" ht="19.5" customHeight="1">
      <c r="A36" s="184">
        <f>A35</f>
        <v>0.8437499999999998</v>
      </c>
      <c r="B36" s="174">
        <v>23</v>
      </c>
      <c r="C36" s="201" t="s">
        <v>121</v>
      </c>
      <c r="D36" s="201"/>
      <c r="E36" s="175" t="str">
        <f>G3</f>
        <v>Tisch 2 C2</v>
      </c>
      <c r="F36" s="176" t="s">
        <v>13</v>
      </c>
      <c r="G36" s="177" t="str">
        <f>G5</f>
        <v>Tisch 2 C4</v>
      </c>
      <c r="H36" s="172">
        <v>1</v>
      </c>
      <c r="I36" s="176" t="s">
        <v>14</v>
      </c>
      <c r="J36" s="173">
        <v>1</v>
      </c>
    </row>
    <row r="37" spans="1:10" s="102" customFormat="1" ht="19.5" customHeight="1" thickBot="1">
      <c r="A37" s="185">
        <f>A36</f>
        <v>0.8437499999999998</v>
      </c>
      <c r="B37" s="186">
        <v>24</v>
      </c>
      <c r="C37" s="203" t="s">
        <v>122</v>
      </c>
      <c r="D37" s="203"/>
      <c r="E37" s="187" t="str">
        <f>G9</f>
        <v>Tisch 4 D2</v>
      </c>
      <c r="F37" s="188" t="s">
        <v>13</v>
      </c>
      <c r="G37" s="189" t="str">
        <f>G11</f>
        <v>Tisch 4 D4</v>
      </c>
      <c r="H37" s="190">
        <v>1</v>
      </c>
      <c r="I37" s="188" t="s">
        <v>14</v>
      </c>
      <c r="J37" s="191">
        <v>1</v>
      </c>
    </row>
    <row r="38" spans="1:9" ht="77.25" customHeight="1">
      <c r="A38" s="74"/>
      <c r="B38" s="74"/>
      <c r="C38" s="63"/>
      <c r="D38" s="63"/>
      <c r="E38" s="207"/>
      <c r="F38" s="207"/>
      <c r="G38" s="207"/>
      <c r="H38" s="65"/>
      <c r="I38" s="64"/>
    </row>
    <row r="39" spans="1:12" ht="33" customHeight="1">
      <c r="A39" s="79"/>
      <c r="B39" s="87"/>
      <c r="C39" s="63"/>
      <c r="D39" s="63"/>
      <c r="E39" s="76"/>
      <c r="F39" s="55"/>
      <c r="G39" s="75"/>
      <c r="H39" s="70"/>
      <c r="J39" s="69"/>
      <c r="L39" s="75"/>
    </row>
    <row r="40" spans="1:12" ht="12.75">
      <c r="A40" s="81"/>
      <c r="B40" s="87"/>
      <c r="C40" s="63"/>
      <c r="D40" s="63"/>
      <c r="E40" s="66"/>
      <c r="F40" s="66"/>
      <c r="G40" s="67"/>
      <c r="H40" s="204"/>
      <c r="I40" s="204"/>
      <c r="J40" s="204"/>
      <c r="L40" s="67"/>
    </row>
    <row r="41" spans="1:7" ht="12.75">
      <c r="A41" s="80"/>
      <c r="B41" s="87"/>
      <c r="C41" s="63"/>
      <c r="D41" s="63"/>
      <c r="F41" s="55"/>
      <c r="G41" s="60"/>
    </row>
    <row r="42" spans="1:10" ht="13.5">
      <c r="A42" s="79"/>
      <c r="B42" s="80"/>
      <c r="C42" s="63"/>
      <c r="D42" s="63"/>
      <c r="E42" s="76"/>
      <c r="F42" s="55"/>
      <c r="G42" s="75"/>
      <c r="H42" s="70"/>
      <c r="J42" s="69"/>
    </row>
    <row r="43" spans="1:10" ht="12.75">
      <c r="A43" s="81"/>
      <c r="B43" s="87"/>
      <c r="C43" s="63"/>
      <c r="D43" s="63"/>
      <c r="E43" s="66"/>
      <c r="F43" s="66"/>
      <c r="G43" s="67"/>
      <c r="H43" s="204"/>
      <c r="I43" s="204"/>
      <c r="J43" s="204"/>
    </row>
    <row r="44" spans="1:7" ht="12.75">
      <c r="A44" s="81"/>
      <c r="B44" s="87"/>
      <c r="C44" s="63"/>
      <c r="D44" s="63"/>
      <c r="E44" s="66"/>
      <c r="F44" s="66"/>
      <c r="G44" s="67"/>
    </row>
    <row r="45" spans="1:10" ht="13.5">
      <c r="A45" s="79"/>
      <c r="B45" s="80"/>
      <c r="C45" s="63"/>
      <c r="D45" s="63"/>
      <c r="E45" s="76"/>
      <c r="F45" s="55"/>
      <c r="G45" s="75"/>
      <c r="H45" s="70"/>
      <c r="J45" s="69"/>
    </row>
    <row r="46" spans="1:10" ht="12.75">
      <c r="A46" s="81"/>
      <c r="B46" s="87"/>
      <c r="C46" s="63"/>
      <c r="D46" s="63"/>
      <c r="E46" s="66"/>
      <c r="F46" s="66"/>
      <c r="G46" s="67"/>
      <c r="H46" s="204"/>
      <c r="I46" s="204"/>
      <c r="J46" s="204"/>
    </row>
    <row r="47" spans="1:7" ht="12.75">
      <c r="A47" s="80"/>
      <c r="B47" s="87"/>
      <c r="C47" s="63"/>
      <c r="D47" s="63"/>
      <c r="F47" s="55"/>
      <c r="G47" s="60"/>
    </row>
    <row r="48" spans="1:10" ht="13.5">
      <c r="A48" s="79"/>
      <c r="B48" s="80"/>
      <c r="C48" s="63"/>
      <c r="D48" s="63"/>
      <c r="E48" s="76"/>
      <c r="F48" s="55"/>
      <c r="G48" s="75"/>
      <c r="H48" s="70"/>
      <c r="J48" s="69"/>
    </row>
    <row r="49" spans="1:10" ht="12.75">
      <c r="A49" s="80"/>
      <c r="B49" s="87"/>
      <c r="C49" s="63"/>
      <c r="D49" s="68"/>
      <c r="E49" s="66"/>
      <c r="F49" s="66"/>
      <c r="G49" s="67"/>
      <c r="H49" s="204"/>
      <c r="I49" s="204"/>
      <c r="J49" s="204"/>
    </row>
    <row r="50" spans="1:7" ht="12.75">
      <c r="A50" s="80"/>
      <c r="B50" s="87"/>
      <c r="C50" s="63"/>
      <c r="D50" s="63"/>
      <c r="F50" s="60"/>
      <c r="G50" s="60"/>
    </row>
    <row r="51" spans="1:7" ht="12.75">
      <c r="A51" s="80"/>
      <c r="B51" s="87"/>
      <c r="C51" s="63"/>
      <c r="D51" s="63"/>
      <c r="E51" s="60"/>
      <c r="F51" s="55"/>
      <c r="G51" s="61"/>
    </row>
    <row r="52" spans="1:4" ht="12.75">
      <c r="A52" s="80"/>
      <c r="B52" s="87"/>
      <c r="C52" s="63"/>
      <c r="D52" s="63"/>
    </row>
    <row r="53" spans="1:9" ht="13.5">
      <c r="A53" s="80"/>
      <c r="B53" s="87"/>
      <c r="C53" s="63"/>
      <c r="D53" s="68"/>
      <c r="E53" s="207"/>
      <c r="F53" s="207"/>
      <c r="G53" s="207"/>
      <c r="H53" s="65"/>
      <c r="I53" s="64"/>
    </row>
    <row r="54" spans="1:10" ht="33" customHeight="1">
      <c r="A54" s="79"/>
      <c r="B54" s="82"/>
      <c r="C54" s="63"/>
      <c r="D54" s="63"/>
      <c r="E54" s="77"/>
      <c r="F54" s="55"/>
      <c r="G54" s="78"/>
      <c r="H54" s="70"/>
      <c r="J54" s="69"/>
    </row>
    <row r="55" spans="1:10" ht="12.75">
      <c r="A55" s="83"/>
      <c r="B55" s="87"/>
      <c r="C55" s="63"/>
      <c r="D55" s="63"/>
      <c r="E55" s="66"/>
      <c r="F55" s="66"/>
      <c r="G55" s="66"/>
      <c r="H55" s="204"/>
      <c r="I55" s="204"/>
      <c r="J55" s="204"/>
    </row>
    <row r="56" spans="1:7" ht="12.75">
      <c r="A56" s="82"/>
      <c r="B56" s="87"/>
      <c r="C56" s="63"/>
      <c r="D56" s="63"/>
      <c r="F56" s="55"/>
      <c r="G56" s="60"/>
    </row>
    <row r="57" spans="1:10" ht="13.5">
      <c r="A57" s="79"/>
      <c r="B57" s="82"/>
      <c r="C57" s="63"/>
      <c r="D57" s="63"/>
      <c r="E57" s="77"/>
      <c r="F57" s="55"/>
      <c r="G57" s="78"/>
      <c r="H57" s="70"/>
      <c r="J57" s="69"/>
    </row>
    <row r="58" spans="1:10" ht="12.75">
      <c r="A58" s="80"/>
      <c r="B58" s="87"/>
      <c r="C58" s="63"/>
      <c r="D58" s="68"/>
      <c r="E58" s="66"/>
      <c r="F58" s="66"/>
      <c r="G58" s="66"/>
      <c r="H58" s="204"/>
      <c r="I58" s="204"/>
      <c r="J58" s="204"/>
    </row>
    <row r="59" spans="1:7" ht="12.75">
      <c r="A59" s="80"/>
      <c r="B59" s="87"/>
      <c r="C59" s="63"/>
      <c r="D59" s="63"/>
      <c r="F59" s="60"/>
      <c r="G59" s="60"/>
    </row>
    <row r="60" spans="1:9" ht="39.75" customHeight="1">
      <c r="A60" s="80"/>
      <c r="B60" s="87"/>
      <c r="C60" s="63"/>
      <c r="D60" s="63"/>
      <c r="E60" s="207"/>
      <c r="F60" s="207"/>
      <c r="G60" s="207"/>
      <c r="H60" s="55"/>
      <c r="I60" s="64"/>
    </row>
    <row r="61" spans="1:10" ht="30" customHeight="1">
      <c r="A61" s="79"/>
      <c r="B61" s="80"/>
      <c r="C61" s="63"/>
      <c r="D61" s="63"/>
      <c r="E61" s="77"/>
      <c r="F61" s="55"/>
      <c r="G61" s="78"/>
      <c r="H61" s="70"/>
      <c r="I61" s="64"/>
      <c r="J61" s="69"/>
    </row>
    <row r="62" spans="1:10" ht="12.75">
      <c r="A62" s="84"/>
      <c r="B62" s="87"/>
      <c r="C62" s="63"/>
      <c r="D62" s="63"/>
      <c r="E62" s="66"/>
      <c r="F62" s="66"/>
      <c r="G62" s="67"/>
      <c r="H62" s="204"/>
      <c r="I62" s="204"/>
      <c r="J62" s="204"/>
    </row>
    <row r="63" spans="1:7" ht="12.75">
      <c r="A63" s="80"/>
      <c r="B63" s="87"/>
      <c r="C63" s="63"/>
      <c r="D63" s="63"/>
      <c r="F63" s="60"/>
      <c r="G63" s="60"/>
    </row>
    <row r="64" spans="1:9" ht="39.75" customHeight="1">
      <c r="A64" s="80"/>
      <c r="B64" s="87"/>
      <c r="C64" s="63"/>
      <c r="D64" s="68"/>
      <c r="E64" s="207"/>
      <c r="F64" s="207"/>
      <c r="G64" s="207"/>
      <c r="H64" s="64"/>
      <c r="I64" s="64"/>
    </row>
    <row r="65" spans="1:10" ht="33" customHeight="1">
      <c r="A65" s="79"/>
      <c r="B65" s="80"/>
      <c r="C65" s="63"/>
      <c r="D65" s="63"/>
      <c r="E65" s="77"/>
      <c r="F65" s="55"/>
      <c r="G65" s="78"/>
      <c r="H65" s="70"/>
      <c r="J65" s="69"/>
    </row>
    <row r="66" spans="1:10" ht="12.75">
      <c r="A66" s="80"/>
      <c r="B66" s="85"/>
      <c r="E66" s="66"/>
      <c r="F66" s="66"/>
      <c r="G66" s="67"/>
      <c r="H66" s="204"/>
      <c r="I66" s="204"/>
      <c r="J66" s="204"/>
    </row>
    <row r="67" spans="2:9" ht="12.75">
      <c r="B67" s="53"/>
      <c r="E67" s="53"/>
      <c r="G67" s="53"/>
      <c r="I67" s="53"/>
    </row>
  </sheetData>
  <sheetProtection password="E760" sheet="1" objects="1" scenarios="1"/>
  <mergeCells count="57">
    <mergeCell ref="G8:H8"/>
    <mergeCell ref="G7:H7"/>
    <mergeCell ref="G9:H9"/>
    <mergeCell ref="G10:H10"/>
    <mergeCell ref="G11:H11"/>
    <mergeCell ref="A8:D8"/>
    <mergeCell ref="A9:D9"/>
    <mergeCell ref="A10:D10"/>
    <mergeCell ref="A11:D11"/>
    <mergeCell ref="A1:D1"/>
    <mergeCell ref="A7:D7"/>
    <mergeCell ref="G1:H1"/>
    <mergeCell ref="G2:H2"/>
    <mergeCell ref="A2:D2"/>
    <mergeCell ref="A3:D3"/>
    <mergeCell ref="A4:D4"/>
    <mergeCell ref="A5:D5"/>
    <mergeCell ref="G3:H3"/>
    <mergeCell ref="G4:H4"/>
    <mergeCell ref="G5:H5"/>
    <mergeCell ref="E64:G64"/>
    <mergeCell ref="E60:G60"/>
    <mergeCell ref="E53:G53"/>
    <mergeCell ref="E38:G38"/>
    <mergeCell ref="H40:J40"/>
    <mergeCell ref="H43:J43"/>
    <mergeCell ref="H46:J46"/>
    <mergeCell ref="H49:J49"/>
    <mergeCell ref="H55:J55"/>
    <mergeCell ref="H58:J58"/>
    <mergeCell ref="H62:J62"/>
    <mergeCell ref="H66:J66"/>
    <mergeCell ref="C16:D16"/>
    <mergeCell ref="C17:D17"/>
    <mergeCell ref="C14:D14"/>
    <mergeCell ref="C15:D15"/>
    <mergeCell ref="C24:D24"/>
    <mergeCell ref="C25:D25"/>
    <mergeCell ref="C18:D18"/>
    <mergeCell ref="C19:D19"/>
    <mergeCell ref="C20:D20"/>
    <mergeCell ref="C21:D21"/>
    <mergeCell ref="C37:D37"/>
    <mergeCell ref="C30:D30"/>
    <mergeCell ref="C31:D31"/>
    <mergeCell ref="C32:D32"/>
    <mergeCell ref="C33:D33"/>
    <mergeCell ref="C13:D13"/>
    <mergeCell ref="C34:D34"/>
    <mergeCell ref="C35:D35"/>
    <mergeCell ref="C36:D36"/>
    <mergeCell ref="C26:D26"/>
    <mergeCell ref="C27:D27"/>
    <mergeCell ref="C28:D28"/>
    <mergeCell ref="C29:D29"/>
    <mergeCell ref="C22:D22"/>
    <mergeCell ref="C23:D23"/>
  </mergeCells>
  <printOptions/>
  <pageMargins left="0.53" right="0.16" top="1.21" bottom="0.19" header="0.33" footer="0.13"/>
  <pageSetup horizontalDpi="300" verticalDpi="300" orientation="portrait" paperSize="9" scale="95" r:id="rId2"/>
  <headerFooter alignWithMargins="0">
    <oddHeader>&amp;C&amp;"Arial,Fett"&amp;14&amp;EMinistranten-Turnier AK II 
Spielplan - Vorrunde -
&amp;R15.12.2007
StadionhalleWiesoch</oddHeader>
  </headerFooter>
  <legacyDrawing r:id="rId1"/>
</worksheet>
</file>

<file path=xl/worksheets/sheet5.xml><?xml version="1.0" encoding="utf-8"?>
<worksheet xmlns="http://schemas.openxmlformats.org/spreadsheetml/2006/main" xmlns:r="http://schemas.openxmlformats.org/officeDocument/2006/relationships">
  <sheetPr codeName="Tabelle7"/>
  <dimension ref="A1:L100"/>
  <sheetViews>
    <sheetView zoomScale="125" zoomScaleNormal="125" zoomScalePageLayoutView="0" workbookViewId="0" topLeftCell="A1">
      <selection activeCell="A79" sqref="A79"/>
    </sheetView>
  </sheetViews>
  <sheetFormatPr defaultColWidth="11.421875" defaultRowHeight="12.75"/>
  <cols>
    <col min="1" max="1" width="14.421875" style="90" customWidth="1"/>
    <col min="2" max="2" width="5.8515625" style="91" customWidth="1"/>
    <col min="3" max="3" width="3.7109375" style="89" customWidth="1"/>
    <col min="4" max="4" width="4.140625" style="89" customWidth="1"/>
    <col min="5" max="5" width="29.00390625" style="89" customWidth="1"/>
    <col min="6" max="6" width="1.57421875" style="88" customWidth="1"/>
    <col min="7" max="7" width="29.140625" style="89" customWidth="1"/>
    <col min="8" max="8" width="4.57421875" style="88" customWidth="1"/>
    <col min="9" max="9" width="1.7109375" style="89" customWidth="1"/>
    <col min="10" max="10" width="4.57421875" style="88" customWidth="1"/>
    <col min="11" max="16384" width="11.421875" style="88" customWidth="1"/>
  </cols>
  <sheetData>
    <row r="1" spans="1:10" s="54" customFormat="1" ht="15" customHeight="1">
      <c r="A1" s="242" t="s">
        <v>140</v>
      </c>
      <c r="B1" s="243"/>
      <c r="C1" s="243"/>
      <c r="D1" s="244"/>
      <c r="E1" s="109"/>
      <c r="F1" s="218" t="s">
        <v>141</v>
      </c>
      <c r="G1" s="218"/>
      <c r="H1" s="219"/>
      <c r="I1" s="119"/>
      <c r="J1" s="119"/>
    </row>
    <row r="2" spans="1:11" s="4" customFormat="1" ht="12.75">
      <c r="A2" s="235" t="str">
        <f>IF(Rechnen!$V$3=6,'Gruppen-Tabellen'!B3,"Erster Tisch 1")</f>
        <v>Tisch 1 A1</v>
      </c>
      <c r="B2" s="236"/>
      <c r="C2" s="236"/>
      <c r="D2" s="237"/>
      <c r="E2" s="110"/>
      <c r="F2" s="150"/>
      <c r="G2" s="220" t="str">
        <f>IF(Rechnen!$V$3=6,'Gruppen-Tabellen'!B4,"Zweiter Tisch 1")</f>
        <v>Tisch 1 A2</v>
      </c>
      <c r="H2" s="221"/>
      <c r="I2" s="120"/>
      <c r="J2" s="120"/>
      <c r="K2" s="104"/>
    </row>
    <row r="3" spans="1:11" s="4" customFormat="1" ht="9.75" customHeight="1">
      <c r="A3" s="238" t="s">
        <v>127</v>
      </c>
      <c r="B3" s="239"/>
      <c r="C3" s="239"/>
      <c r="D3" s="240"/>
      <c r="E3" s="114"/>
      <c r="F3" s="150"/>
      <c r="G3" s="245" t="s">
        <v>131</v>
      </c>
      <c r="H3" s="246"/>
      <c r="I3" s="121"/>
      <c r="J3" s="121"/>
      <c r="K3" s="105"/>
    </row>
    <row r="4" spans="1:11" s="4" customFormat="1" ht="12.75">
      <c r="A4" s="235" t="str">
        <f>IF(Rechnen!$W$3=6,'Gruppen-Tabellen'!B9,"Erster Tisch 2")</f>
        <v>Tisch 2 B1</v>
      </c>
      <c r="B4" s="236"/>
      <c r="C4" s="236"/>
      <c r="D4" s="237"/>
      <c r="E4" s="110"/>
      <c r="F4" s="150"/>
      <c r="G4" s="220" t="str">
        <f>IF(Rechnen!$W$3=6,'Gruppen-Tabellen'!B10,"Zweiter Tisch 2")</f>
        <v>Tisch 2 B2</v>
      </c>
      <c r="H4" s="221"/>
      <c r="I4" s="120"/>
      <c r="J4" s="120"/>
      <c r="K4" s="104"/>
    </row>
    <row r="5" spans="1:11" s="4" customFormat="1" ht="9.75" customHeight="1">
      <c r="A5" s="238" t="s">
        <v>128</v>
      </c>
      <c r="B5" s="239"/>
      <c r="C5" s="239"/>
      <c r="D5" s="240"/>
      <c r="E5" s="114"/>
      <c r="F5" s="150"/>
      <c r="G5" s="245" t="s">
        <v>132</v>
      </c>
      <c r="H5" s="246"/>
      <c r="I5" s="121"/>
      <c r="J5" s="121"/>
      <c r="K5" s="105"/>
    </row>
    <row r="6" spans="1:11" s="4" customFormat="1" ht="12.75">
      <c r="A6" s="235" t="str">
        <f>IF(Rechnen!$X$3=6,'Gruppen-Tabellen'!B16,"Zweiter Tisch 3")</f>
        <v>Tisch 2 C2</v>
      </c>
      <c r="B6" s="236"/>
      <c r="C6" s="236"/>
      <c r="D6" s="237"/>
      <c r="E6" s="110"/>
      <c r="F6" s="150"/>
      <c r="G6" s="220" t="str">
        <f>IF(Rechnen!$X$3=6,'Gruppen-Tabellen'!B15,"Erster Tisch 3")</f>
        <v>Tisch 2 C1</v>
      </c>
      <c r="H6" s="221"/>
      <c r="I6" s="120"/>
      <c r="J6" s="120"/>
      <c r="K6" s="104"/>
    </row>
    <row r="7" spans="1:11" s="4" customFormat="1" ht="9.75" customHeight="1">
      <c r="A7" s="238" t="s">
        <v>129</v>
      </c>
      <c r="B7" s="239"/>
      <c r="C7" s="239"/>
      <c r="D7" s="240"/>
      <c r="E7" s="114"/>
      <c r="F7" s="150"/>
      <c r="G7" s="245" t="s">
        <v>133</v>
      </c>
      <c r="H7" s="246"/>
      <c r="I7" s="121"/>
      <c r="J7" s="121"/>
      <c r="K7" s="105"/>
    </row>
    <row r="8" spans="1:11" s="4" customFormat="1" ht="12.75">
      <c r="A8" s="235" t="str">
        <f>IF(Rechnen!$Y$3=6,'Gruppen-Tabellen'!B22,"Zweiter Tisch 4")</f>
        <v>Tisch 4 D2</v>
      </c>
      <c r="B8" s="236"/>
      <c r="C8" s="236"/>
      <c r="D8" s="237"/>
      <c r="E8" s="110"/>
      <c r="F8" s="150"/>
      <c r="G8" s="220" t="str">
        <f>IF(Rechnen!$Y$3=6,'Gruppen-Tabellen'!B21,"Erster Tisch 4")</f>
        <v>Tisch 4 D1</v>
      </c>
      <c r="H8" s="221"/>
      <c r="I8" s="120"/>
      <c r="J8" s="120"/>
      <c r="K8" s="104"/>
    </row>
    <row r="9" spans="1:11" s="4" customFormat="1" ht="9.75" customHeight="1" thickBot="1">
      <c r="A9" s="249" t="s">
        <v>130</v>
      </c>
      <c r="B9" s="250"/>
      <c r="C9" s="250"/>
      <c r="D9" s="251"/>
      <c r="E9" s="114"/>
      <c r="F9" s="150"/>
      <c r="G9" s="247" t="s">
        <v>134</v>
      </c>
      <c r="H9" s="248"/>
      <c r="I9" s="121"/>
      <c r="J9" s="121"/>
      <c r="K9" s="105"/>
    </row>
    <row r="10" spans="1:11" s="4" customFormat="1" ht="9" customHeight="1">
      <c r="A10" s="114"/>
      <c r="B10" s="110"/>
      <c r="C10" s="110"/>
      <c r="D10" s="110"/>
      <c r="E10" s="110"/>
      <c r="F10" s="150"/>
      <c r="G10" s="114"/>
      <c r="H10" s="110"/>
      <c r="I10" s="110"/>
      <c r="J10" s="110"/>
      <c r="K10" s="104"/>
    </row>
    <row r="11" spans="1:10" ht="15" customHeight="1" hidden="1">
      <c r="A11" s="108" t="s">
        <v>43</v>
      </c>
      <c r="B11" s="111" t="s">
        <v>1</v>
      </c>
      <c r="C11" s="112" t="s">
        <v>2</v>
      </c>
      <c r="D11" s="113"/>
      <c r="E11" s="110"/>
      <c r="F11" s="150"/>
      <c r="G11" s="252" t="s">
        <v>44</v>
      </c>
      <c r="H11" s="253"/>
      <c r="I11" s="119"/>
      <c r="J11" s="119"/>
    </row>
    <row r="12" spans="1:11" s="4" customFormat="1" ht="12.75" hidden="1">
      <c r="A12" s="235"/>
      <c r="B12" s="236"/>
      <c r="C12" s="236"/>
      <c r="D12" s="237"/>
      <c r="E12" s="110"/>
      <c r="F12" s="150"/>
      <c r="G12" s="220"/>
      <c r="H12" s="221"/>
      <c r="I12" s="120"/>
      <c r="J12" s="120"/>
      <c r="K12" s="104"/>
    </row>
    <row r="13" spans="1:11" s="4" customFormat="1" ht="9.75" customHeight="1" hidden="1">
      <c r="A13" s="238" t="s">
        <v>15</v>
      </c>
      <c r="B13" s="239"/>
      <c r="C13" s="239"/>
      <c r="D13" s="240"/>
      <c r="E13" s="114"/>
      <c r="F13" s="150"/>
      <c r="G13" s="245" t="s">
        <v>60</v>
      </c>
      <c r="H13" s="246"/>
      <c r="I13" s="121"/>
      <c r="J13" s="121"/>
      <c r="K13" s="105"/>
    </row>
    <row r="14" spans="1:11" s="4" customFormat="1" ht="12.75" hidden="1">
      <c r="A14" s="235"/>
      <c r="B14" s="236"/>
      <c r="C14" s="236"/>
      <c r="D14" s="237"/>
      <c r="E14" s="110"/>
      <c r="F14" s="150"/>
      <c r="G14" s="220"/>
      <c r="H14" s="221"/>
      <c r="I14" s="120"/>
      <c r="J14" s="120"/>
      <c r="K14" s="104"/>
    </row>
    <row r="15" spans="1:11" s="4" customFormat="1" ht="9.75" customHeight="1" hidden="1">
      <c r="A15" s="238" t="s">
        <v>18</v>
      </c>
      <c r="B15" s="239"/>
      <c r="C15" s="239"/>
      <c r="D15" s="240"/>
      <c r="E15" s="114"/>
      <c r="F15" s="150"/>
      <c r="G15" s="245" t="s">
        <v>61</v>
      </c>
      <c r="H15" s="246"/>
      <c r="I15" s="121"/>
      <c r="J15" s="121"/>
      <c r="K15" s="105"/>
    </row>
    <row r="16" spans="1:11" s="4" customFormat="1" ht="12.75" hidden="1">
      <c r="A16" s="235"/>
      <c r="B16" s="236"/>
      <c r="C16" s="236"/>
      <c r="D16" s="237"/>
      <c r="E16" s="110"/>
      <c r="F16" s="150"/>
      <c r="G16" s="220"/>
      <c r="H16" s="221"/>
      <c r="I16" s="120"/>
      <c r="J16" s="120"/>
      <c r="K16" s="104"/>
    </row>
    <row r="17" spans="1:11" s="4" customFormat="1" ht="9.75" customHeight="1" hidden="1">
      <c r="A17" s="238" t="s">
        <v>16</v>
      </c>
      <c r="B17" s="239"/>
      <c r="C17" s="239"/>
      <c r="D17" s="240"/>
      <c r="E17" s="114"/>
      <c r="F17" s="150"/>
      <c r="G17" s="245" t="s">
        <v>62</v>
      </c>
      <c r="H17" s="246"/>
      <c r="I17" s="121"/>
      <c r="J17" s="121"/>
      <c r="K17" s="105"/>
    </row>
    <row r="18" spans="1:11" s="4" customFormat="1" ht="12.75" hidden="1">
      <c r="A18" s="235"/>
      <c r="B18" s="236"/>
      <c r="C18" s="236"/>
      <c r="D18" s="237"/>
      <c r="E18" s="110"/>
      <c r="F18" s="150"/>
      <c r="G18" s="220"/>
      <c r="H18" s="221"/>
      <c r="I18" s="120"/>
      <c r="J18" s="120"/>
      <c r="K18" s="104"/>
    </row>
    <row r="19" spans="1:11" s="4" customFormat="1" ht="9.75" customHeight="1" hidden="1" thickBot="1">
      <c r="A19" s="249" t="s">
        <v>17</v>
      </c>
      <c r="B19" s="250"/>
      <c r="C19" s="250"/>
      <c r="D19" s="251"/>
      <c r="E19" s="114"/>
      <c r="F19" s="150"/>
      <c r="G19" s="247" t="s">
        <v>63</v>
      </c>
      <c r="H19" s="248"/>
      <c r="I19" s="121"/>
      <c r="J19" s="121"/>
      <c r="K19" s="105"/>
    </row>
    <row r="20" ht="8.25" customHeight="1"/>
    <row r="21" spans="1:10" s="56" customFormat="1" ht="28.5" customHeight="1" thickBot="1">
      <c r="A21" s="56" t="s">
        <v>8</v>
      </c>
      <c r="B21" s="56" t="s">
        <v>9</v>
      </c>
      <c r="C21" s="200" t="s">
        <v>137</v>
      </c>
      <c r="D21" s="200"/>
      <c r="E21" s="93" t="s">
        <v>41</v>
      </c>
      <c r="F21" s="57"/>
      <c r="G21" s="57"/>
      <c r="H21" s="58" t="s">
        <v>12</v>
      </c>
      <c r="I21" s="59"/>
      <c r="J21" s="59"/>
    </row>
    <row r="22" spans="1:10" s="102" customFormat="1" ht="18.75" customHeight="1">
      <c r="A22" s="178">
        <f>Vorgaben!D15</f>
        <v>0.8506944444444442</v>
      </c>
      <c r="B22" s="179">
        <v>25</v>
      </c>
      <c r="C22" s="205" t="s">
        <v>138</v>
      </c>
      <c r="D22" s="205"/>
      <c r="E22" s="180" t="str">
        <f>A2</f>
        <v>Tisch 1 A1</v>
      </c>
      <c r="F22" s="181" t="s">
        <v>13</v>
      </c>
      <c r="G22" s="182" t="str">
        <f>A4</f>
        <v>Tisch 2 B1</v>
      </c>
      <c r="H22" s="165">
        <v>1</v>
      </c>
      <c r="I22" s="181" t="s">
        <v>14</v>
      </c>
      <c r="J22" s="166">
        <v>0</v>
      </c>
    </row>
    <row r="23" spans="1:10" s="102" customFormat="1" ht="18.75" customHeight="1">
      <c r="A23" s="183">
        <f>A22</f>
        <v>0.8506944444444442</v>
      </c>
      <c r="B23" s="138">
        <v>26</v>
      </c>
      <c r="C23" s="202" t="s">
        <v>139</v>
      </c>
      <c r="D23" s="202"/>
      <c r="E23" s="171" t="str">
        <f>A6</f>
        <v>Tisch 2 C2</v>
      </c>
      <c r="F23" s="140" t="s">
        <v>13</v>
      </c>
      <c r="G23" s="160" t="str">
        <f>A8</f>
        <v>Tisch 4 D2</v>
      </c>
      <c r="H23" s="100">
        <v>1</v>
      </c>
      <c r="I23" s="140" t="s">
        <v>14</v>
      </c>
      <c r="J23" s="167">
        <v>1</v>
      </c>
    </row>
    <row r="24" spans="1:10" s="102" customFormat="1" ht="18.75" customHeight="1">
      <c r="A24" s="183">
        <f>A23</f>
        <v>0.8506944444444442</v>
      </c>
      <c r="B24" s="138">
        <v>27</v>
      </c>
      <c r="C24" s="202" t="s">
        <v>142</v>
      </c>
      <c r="D24" s="202"/>
      <c r="E24" s="171" t="str">
        <f>G2</f>
        <v>Tisch 1 A2</v>
      </c>
      <c r="F24" s="140" t="s">
        <v>13</v>
      </c>
      <c r="G24" s="160" t="str">
        <f>G4</f>
        <v>Tisch 2 B2</v>
      </c>
      <c r="H24" s="100">
        <v>1</v>
      </c>
      <c r="I24" s="140" t="s">
        <v>14</v>
      </c>
      <c r="J24" s="167">
        <v>0</v>
      </c>
    </row>
    <row r="25" spans="1:10" s="102" customFormat="1" ht="18.75" customHeight="1">
      <c r="A25" s="183">
        <f>A24</f>
        <v>0.8506944444444442</v>
      </c>
      <c r="B25" s="138">
        <v>28</v>
      </c>
      <c r="C25" s="202" t="s">
        <v>143</v>
      </c>
      <c r="D25" s="202"/>
      <c r="E25" s="171" t="str">
        <f>G6</f>
        <v>Tisch 2 C1</v>
      </c>
      <c r="F25" s="140" t="s">
        <v>13</v>
      </c>
      <c r="G25" s="160" t="str">
        <f>G8</f>
        <v>Tisch 4 D1</v>
      </c>
      <c r="H25" s="100">
        <v>1</v>
      </c>
      <c r="I25" s="140" t="s">
        <v>14</v>
      </c>
      <c r="J25" s="167">
        <v>1</v>
      </c>
    </row>
    <row r="26" spans="1:10" s="102" customFormat="1" ht="18.75" customHeight="1">
      <c r="A26" s="184">
        <f>A25+Vorgaben!$D$3+Vorgaben!$D$5</f>
        <v>0.8611111111111108</v>
      </c>
      <c r="B26" s="174">
        <v>29</v>
      </c>
      <c r="C26" s="201" t="s">
        <v>138</v>
      </c>
      <c r="D26" s="201"/>
      <c r="E26" s="175" t="str">
        <f>A2</f>
        <v>Tisch 1 A1</v>
      </c>
      <c r="F26" s="176" t="s">
        <v>13</v>
      </c>
      <c r="G26" s="177" t="str">
        <f>A6</f>
        <v>Tisch 2 C2</v>
      </c>
      <c r="H26" s="172">
        <v>2</v>
      </c>
      <c r="I26" s="176" t="s">
        <v>14</v>
      </c>
      <c r="J26" s="173">
        <v>0</v>
      </c>
    </row>
    <row r="27" spans="1:10" s="102" customFormat="1" ht="18.75" customHeight="1">
      <c r="A27" s="184">
        <f>A26</f>
        <v>0.8611111111111108</v>
      </c>
      <c r="B27" s="174">
        <v>30</v>
      </c>
      <c r="C27" s="201" t="s">
        <v>139</v>
      </c>
      <c r="D27" s="201"/>
      <c r="E27" s="175" t="str">
        <f>A4</f>
        <v>Tisch 2 B1</v>
      </c>
      <c r="F27" s="176" t="s">
        <v>13</v>
      </c>
      <c r="G27" s="177" t="str">
        <f>A8</f>
        <v>Tisch 4 D2</v>
      </c>
      <c r="H27" s="172">
        <v>1</v>
      </c>
      <c r="I27" s="176" t="s">
        <v>14</v>
      </c>
      <c r="J27" s="173">
        <v>1</v>
      </c>
    </row>
    <row r="28" spans="1:10" s="102" customFormat="1" ht="18.75" customHeight="1">
      <c r="A28" s="184">
        <f>A27</f>
        <v>0.8611111111111108</v>
      </c>
      <c r="B28" s="174">
        <v>31</v>
      </c>
      <c r="C28" s="201" t="s">
        <v>142</v>
      </c>
      <c r="D28" s="201"/>
      <c r="E28" s="175" t="str">
        <f>G2</f>
        <v>Tisch 1 A2</v>
      </c>
      <c r="F28" s="176" t="s">
        <v>13</v>
      </c>
      <c r="G28" s="177" t="str">
        <f>G6</f>
        <v>Tisch 2 C1</v>
      </c>
      <c r="H28" s="172">
        <v>2</v>
      </c>
      <c r="I28" s="176" t="s">
        <v>14</v>
      </c>
      <c r="J28" s="173">
        <v>0</v>
      </c>
    </row>
    <row r="29" spans="1:10" s="102" customFormat="1" ht="18.75" customHeight="1">
      <c r="A29" s="184">
        <f>A28</f>
        <v>0.8611111111111108</v>
      </c>
      <c r="B29" s="174">
        <v>32</v>
      </c>
      <c r="C29" s="201" t="s">
        <v>143</v>
      </c>
      <c r="D29" s="201"/>
      <c r="E29" s="175" t="str">
        <f>G4</f>
        <v>Tisch 2 B2</v>
      </c>
      <c r="F29" s="176" t="s">
        <v>13</v>
      </c>
      <c r="G29" s="177" t="str">
        <f>G6</f>
        <v>Tisch 2 C1</v>
      </c>
      <c r="H29" s="172">
        <v>1</v>
      </c>
      <c r="I29" s="176" t="s">
        <v>14</v>
      </c>
      <c r="J29" s="173">
        <v>1</v>
      </c>
    </row>
    <row r="30" spans="1:10" s="102" customFormat="1" ht="18.75" customHeight="1">
      <c r="A30" s="183">
        <f>A29+Vorgaben!$D$3+Vorgaben!$D$5</f>
        <v>0.8715277777777775</v>
      </c>
      <c r="B30" s="138">
        <v>33</v>
      </c>
      <c r="C30" s="202" t="s">
        <v>138</v>
      </c>
      <c r="D30" s="202"/>
      <c r="E30" s="171" t="str">
        <f>A8</f>
        <v>Tisch 4 D2</v>
      </c>
      <c r="F30" s="140" t="s">
        <v>13</v>
      </c>
      <c r="G30" s="160" t="str">
        <f>A2</f>
        <v>Tisch 1 A1</v>
      </c>
      <c r="H30" s="100">
        <v>0</v>
      </c>
      <c r="I30" s="140" t="s">
        <v>14</v>
      </c>
      <c r="J30" s="167">
        <v>3</v>
      </c>
    </row>
    <row r="31" spans="1:10" s="102" customFormat="1" ht="18.75" customHeight="1">
      <c r="A31" s="183">
        <f>A30</f>
        <v>0.8715277777777775</v>
      </c>
      <c r="B31" s="138">
        <v>34</v>
      </c>
      <c r="C31" s="202" t="s">
        <v>139</v>
      </c>
      <c r="D31" s="202"/>
      <c r="E31" s="171" t="str">
        <f>A4</f>
        <v>Tisch 2 B1</v>
      </c>
      <c r="F31" s="140" t="s">
        <v>13</v>
      </c>
      <c r="G31" s="160" t="str">
        <f>A6</f>
        <v>Tisch 2 C2</v>
      </c>
      <c r="H31" s="100">
        <v>1</v>
      </c>
      <c r="I31" s="140" t="s">
        <v>14</v>
      </c>
      <c r="J31" s="167">
        <v>1</v>
      </c>
    </row>
    <row r="32" spans="1:10" s="102" customFormat="1" ht="18.75" customHeight="1">
      <c r="A32" s="183">
        <f>A31</f>
        <v>0.8715277777777775</v>
      </c>
      <c r="B32" s="138">
        <v>35</v>
      </c>
      <c r="C32" s="202" t="s">
        <v>142</v>
      </c>
      <c r="D32" s="202"/>
      <c r="E32" s="171" t="str">
        <f>G8</f>
        <v>Tisch 4 D1</v>
      </c>
      <c r="F32" s="140" t="s">
        <v>13</v>
      </c>
      <c r="G32" s="160" t="str">
        <f>G2</f>
        <v>Tisch 1 A2</v>
      </c>
      <c r="H32" s="100">
        <v>0</v>
      </c>
      <c r="I32" s="140" t="s">
        <v>14</v>
      </c>
      <c r="J32" s="167">
        <v>3</v>
      </c>
    </row>
    <row r="33" spans="1:10" s="102" customFormat="1" ht="18.75" customHeight="1" thickBot="1">
      <c r="A33" s="193">
        <f>A32</f>
        <v>0.8715277777777775</v>
      </c>
      <c r="B33" s="194">
        <v>36</v>
      </c>
      <c r="C33" s="202" t="s">
        <v>143</v>
      </c>
      <c r="D33" s="202"/>
      <c r="E33" s="195" t="str">
        <f>G4</f>
        <v>Tisch 2 B2</v>
      </c>
      <c r="F33" s="196" t="s">
        <v>13</v>
      </c>
      <c r="G33" s="197" t="str">
        <f>G8</f>
        <v>Tisch 4 D1</v>
      </c>
      <c r="H33" s="168">
        <v>1</v>
      </c>
      <c r="I33" s="196" t="s">
        <v>14</v>
      </c>
      <c r="J33" s="169">
        <v>1</v>
      </c>
    </row>
    <row r="34" spans="1:10" s="102" customFormat="1" ht="18.75" customHeight="1" hidden="1">
      <c r="A34" s="94">
        <f>A24+Vorgaben!$D$3+Vorgaben!$D$5</f>
        <v>0.8611111111111108</v>
      </c>
      <c r="B34" s="96">
        <v>28</v>
      </c>
      <c r="C34" s="231" t="s">
        <v>67</v>
      </c>
      <c r="D34" s="231"/>
      <c r="E34" s="97">
        <f>G12</f>
        <v>0</v>
      </c>
      <c r="F34" s="98" t="s">
        <v>13</v>
      </c>
      <c r="G34" s="99">
        <f>G14</f>
        <v>0</v>
      </c>
      <c r="H34" s="170"/>
      <c r="I34" s="98" t="s">
        <v>14</v>
      </c>
      <c r="J34" s="192"/>
    </row>
    <row r="35" spans="1:10" s="102" customFormat="1" ht="18.75" customHeight="1" hidden="1">
      <c r="A35" s="94">
        <f>A23+Vorgaben!$D$3+Vorgaben!$D$5</f>
        <v>0.8611111111111108</v>
      </c>
      <c r="B35" s="96">
        <v>30</v>
      </c>
      <c r="C35" s="231" t="s">
        <v>66</v>
      </c>
      <c r="D35" s="231"/>
      <c r="E35" s="97">
        <f>A16</f>
        <v>0</v>
      </c>
      <c r="F35" s="98" t="s">
        <v>13</v>
      </c>
      <c r="G35" s="99">
        <f>A18</f>
        <v>0</v>
      </c>
      <c r="H35" s="100"/>
      <c r="I35" s="98" t="s">
        <v>14</v>
      </c>
      <c r="J35" s="101"/>
    </row>
    <row r="36" spans="1:10" s="102" customFormat="1" ht="18.75" customHeight="1" hidden="1">
      <c r="A36" s="94">
        <f>A25+Vorgaben!$D$3+Vorgaben!$D$5</f>
        <v>0.8611111111111108</v>
      </c>
      <c r="B36" s="96">
        <v>32</v>
      </c>
      <c r="C36" s="231" t="s">
        <v>67</v>
      </c>
      <c r="D36" s="231"/>
      <c r="E36" s="97">
        <f>G16</f>
        <v>0</v>
      </c>
      <c r="F36" s="98" t="s">
        <v>13</v>
      </c>
      <c r="G36" s="99">
        <f>G18</f>
        <v>0</v>
      </c>
      <c r="H36" s="100"/>
      <c r="I36" s="98" t="s">
        <v>14</v>
      </c>
      <c r="J36" s="101"/>
    </row>
    <row r="37" spans="1:10" s="102" customFormat="1" ht="18.75" customHeight="1" hidden="1">
      <c r="A37" s="94">
        <f>A26+Vorgaben!$D$3+Vorgaben!$D$5</f>
        <v>0.8715277777777775</v>
      </c>
      <c r="B37" s="96">
        <v>34</v>
      </c>
      <c r="C37" s="231" t="s">
        <v>66</v>
      </c>
      <c r="D37" s="231"/>
      <c r="E37" s="97">
        <f>A12</f>
        <v>0</v>
      </c>
      <c r="F37" s="98" t="s">
        <v>13</v>
      </c>
      <c r="G37" s="99">
        <f>A16</f>
        <v>0</v>
      </c>
      <c r="H37" s="100"/>
      <c r="I37" s="98" t="s">
        <v>14</v>
      </c>
      <c r="J37" s="101"/>
    </row>
    <row r="38" spans="1:10" s="102" customFormat="1" ht="18.75" customHeight="1" hidden="1">
      <c r="A38" s="94">
        <f>A28+Vorgaben!$D$3+Vorgaben!$D$5</f>
        <v>0.8715277777777775</v>
      </c>
      <c r="B38" s="96">
        <v>36</v>
      </c>
      <c r="C38" s="231" t="s">
        <v>67</v>
      </c>
      <c r="D38" s="231"/>
      <c r="E38" s="97">
        <f>G12</f>
        <v>0</v>
      </c>
      <c r="F38" s="98" t="s">
        <v>13</v>
      </c>
      <c r="G38" s="99">
        <f>G16</f>
        <v>0</v>
      </c>
      <c r="H38" s="100"/>
      <c r="I38" s="98" t="s">
        <v>14</v>
      </c>
      <c r="J38" s="101"/>
    </row>
    <row r="39" spans="1:10" s="102" customFormat="1" ht="18.75" customHeight="1" hidden="1">
      <c r="A39" s="94">
        <f>A27+Vorgaben!$D$3+Vorgaben!$D$5</f>
        <v>0.8715277777777775</v>
      </c>
      <c r="B39" s="96">
        <v>38</v>
      </c>
      <c r="C39" s="231" t="s">
        <v>66</v>
      </c>
      <c r="D39" s="231"/>
      <c r="E39" s="97">
        <f>A14</f>
        <v>0</v>
      </c>
      <c r="F39" s="98" t="s">
        <v>13</v>
      </c>
      <c r="G39" s="99">
        <f>A18</f>
        <v>0</v>
      </c>
      <c r="H39" s="100"/>
      <c r="I39" s="98" t="s">
        <v>14</v>
      </c>
      <c r="J39" s="101"/>
    </row>
    <row r="40" spans="1:10" s="102" customFormat="1" ht="18.75" customHeight="1" hidden="1">
      <c r="A40" s="94">
        <f>A29+Vorgaben!$D$3+Vorgaben!$D$5</f>
        <v>0.8715277777777775</v>
      </c>
      <c r="B40" s="96">
        <v>40</v>
      </c>
      <c r="C40" s="231" t="s">
        <v>67</v>
      </c>
      <c r="D40" s="231"/>
      <c r="E40" s="97">
        <f>G14</f>
        <v>0</v>
      </c>
      <c r="F40" s="98" t="s">
        <v>13</v>
      </c>
      <c r="G40" s="99">
        <f>G18</f>
        <v>0</v>
      </c>
      <c r="H40" s="100"/>
      <c r="I40" s="98" t="s">
        <v>14</v>
      </c>
      <c r="J40" s="101"/>
    </row>
    <row r="41" spans="1:10" s="102" customFormat="1" ht="18.75" customHeight="1" hidden="1">
      <c r="A41" s="94">
        <f>A30+Vorgaben!$D$3+Vorgaben!$D$5</f>
        <v>0.8819444444444441</v>
      </c>
      <c r="B41" s="96">
        <v>42</v>
      </c>
      <c r="C41" s="231" t="s">
        <v>66</v>
      </c>
      <c r="D41" s="231"/>
      <c r="E41" s="97">
        <f>A18</f>
        <v>0</v>
      </c>
      <c r="F41" s="98" t="s">
        <v>13</v>
      </c>
      <c r="G41" s="99">
        <f>A12</f>
        <v>0</v>
      </c>
      <c r="H41" s="100"/>
      <c r="I41" s="98" t="s">
        <v>14</v>
      </c>
      <c r="J41" s="101"/>
    </row>
    <row r="42" spans="1:10" s="102" customFormat="1" ht="18.75" customHeight="1" hidden="1">
      <c r="A42" s="94">
        <f>A32+Vorgaben!$D$3+Vorgaben!$D$5</f>
        <v>0.8819444444444441</v>
      </c>
      <c r="B42" s="96">
        <v>44</v>
      </c>
      <c r="C42" s="231" t="s">
        <v>67</v>
      </c>
      <c r="D42" s="231"/>
      <c r="E42" s="97">
        <f>G18</f>
        <v>0</v>
      </c>
      <c r="F42" s="98" t="s">
        <v>13</v>
      </c>
      <c r="G42" s="99">
        <f>G12</f>
        <v>0</v>
      </c>
      <c r="H42" s="100"/>
      <c r="I42" s="98" t="s">
        <v>14</v>
      </c>
      <c r="J42" s="101"/>
    </row>
    <row r="43" spans="1:10" s="102" customFormat="1" ht="18.75" customHeight="1" hidden="1">
      <c r="A43" s="94">
        <f>A31+Vorgaben!$D$3+Vorgaben!$D$5</f>
        <v>0.8819444444444441</v>
      </c>
      <c r="B43" s="96">
        <v>46</v>
      </c>
      <c r="C43" s="231" t="s">
        <v>66</v>
      </c>
      <c r="D43" s="231"/>
      <c r="E43" s="97">
        <f>A14</f>
        <v>0</v>
      </c>
      <c r="F43" s="98" t="s">
        <v>13</v>
      </c>
      <c r="G43" s="99">
        <f>A16</f>
        <v>0</v>
      </c>
      <c r="H43" s="100"/>
      <c r="I43" s="98" t="s">
        <v>14</v>
      </c>
      <c r="J43" s="101"/>
    </row>
    <row r="44" spans="1:10" s="102" customFormat="1" ht="18.75" customHeight="1" hidden="1">
      <c r="A44" s="94">
        <f>A22+Vorgaben!$D$3+Vorgaben!$D$5</f>
        <v>0.8611111111111108</v>
      </c>
      <c r="B44" s="96">
        <v>26</v>
      </c>
      <c r="C44" s="231" t="s">
        <v>66</v>
      </c>
      <c r="D44" s="231"/>
      <c r="E44" s="97">
        <f>A12</f>
        <v>0</v>
      </c>
      <c r="F44" s="98" t="s">
        <v>13</v>
      </c>
      <c r="G44" s="99">
        <f>A14</f>
        <v>0</v>
      </c>
      <c r="H44" s="170"/>
      <c r="I44" s="98" t="s">
        <v>14</v>
      </c>
      <c r="J44" s="192"/>
    </row>
    <row r="45" spans="1:10" s="102" customFormat="1" ht="18.75" customHeight="1" hidden="1">
      <c r="A45" s="94">
        <f>A33+Vorgaben!$D$3+Vorgaben!$D$5</f>
        <v>0.8819444444444441</v>
      </c>
      <c r="B45" s="96">
        <v>48</v>
      </c>
      <c r="C45" s="231" t="s">
        <v>67</v>
      </c>
      <c r="D45" s="231"/>
      <c r="E45" s="97">
        <f>G14</f>
        <v>0</v>
      </c>
      <c r="F45" s="98" t="s">
        <v>13</v>
      </c>
      <c r="G45" s="99">
        <f>G16</f>
        <v>0</v>
      </c>
      <c r="H45" s="100"/>
      <c r="I45" s="98" t="s">
        <v>14</v>
      </c>
      <c r="J45" s="101"/>
    </row>
    <row r="46" spans="1:9" ht="30.75" customHeight="1">
      <c r="A46" s="74"/>
      <c r="B46" s="74"/>
      <c r="C46" s="63"/>
      <c r="D46" s="63"/>
      <c r="E46" s="233" t="s">
        <v>46</v>
      </c>
      <c r="F46" s="233"/>
      <c r="G46" s="233"/>
      <c r="H46" s="118"/>
      <c r="I46" s="92"/>
    </row>
    <row r="47" spans="1:10" s="56" customFormat="1" ht="27.75" customHeight="1">
      <c r="A47" s="56" t="s">
        <v>8</v>
      </c>
      <c r="B47" s="232" t="s">
        <v>153</v>
      </c>
      <c r="C47" s="232"/>
      <c r="D47" s="232"/>
      <c r="E47" s="93"/>
      <c r="F47" s="57"/>
      <c r="G47" s="57"/>
      <c r="H47" s="58" t="s">
        <v>12</v>
      </c>
      <c r="I47" s="59"/>
      <c r="J47" s="59"/>
    </row>
    <row r="48" spans="1:10" s="102" customFormat="1" ht="15.75" customHeight="1">
      <c r="A48" s="137">
        <f>A33+(Vorgaben!$D$3+Vorgaben!$D$9)</f>
        <v>0.8888888888888886</v>
      </c>
      <c r="B48" s="227" t="s">
        <v>98</v>
      </c>
      <c r="C48" s="226"/>
      <c r="D48" s="226"/>
      <c r="E48" s="147" t="str">
        <f>IF(Rechnen2!$X$3=6,'Gruppen-Tabellen2'!B15,"Erster Gruppe B Zw.-runde")</f>
        <v>Tisch 1 A2</v>
      </c>
      <c r="F48" s="140" t="s">
        <v>14</v>
      </c>
      <c r="G48" s="148" t="str">
        <f>IF(Rechnen2!$V$3=6,'Gruppen-Tabellen2'!B4,"Zweiter Gruppe A Zw.-runde")</f>
        <v>Tisch 2 B1</v>
      </c>
      <c r="H48" s="100">
        <v>0</v>
      </c>
      <c r="I48" s="98" t="s">
        <v>14</v>
      </c>
      <c r="J48" s="101">
        <v>1</v>
      </c>
    </row>
    <row r="49" spans="1:12" s="135" customFormat="1" ht="20.25" customHeight="1">
      <c r="A49" s="130"/>
      <c r="B49" s="215" t="s">
        <v>147</v>
      </c>
      <c r="C49" s="215"/>
      <c r="D49" s="215"/>
      <c r="E49" s="133" t="s">
        <v>145</v>
      </c>
      <c r="F49" s="133"/>
      <c r="G49" s="134" t="s">
        <v>144</v>
      </c>
      <c r="H49" s="217"/>
      <c r="I49" s="217"/>
      <c r="J49" s="217"/>
      <c r="L49" s="134"/>
    </row>
    <row r="50" spans="1:10" s="102" customFormat="1" ht="15.75" customHeight="1">
      <c r="A50" s="137">
        <f>A48</f>
        <v>0.8888888888888886</v>
      </c>
      <c r="B50" s="227" t="s">
        <v>99</v>
      </c>
      <c r="C50" s="226"/>
      <c r="D50" s="226"/>
      <c r="E50" s="147" t="str">
        <f>IF(Rechnen2!$V$3=6,'Gruppen-Tabellen2'!B3,"Erster Gruppe A Zw.-runde")</f>
        <v>Tisch 1 A1</v>
      </c>
      <c r="F50" s="140" t="s">
        <v>14</v>
      </c>
      <c r="G50" s="148" t="str">
        <f>IF(Rechnen2!$X$3=6,'Gruppen-Tabellen2'!B16,"Zweiter Gruppe B Zw.-runde")</f>
        <v>Tisch 2 B2</v>
      </c>
      <c r="H50" s="100">
        <v>1</v>
      </c>
      <c r="I50" s="98" t="s">
        <v>14</v>
      </c>
      <c r="J50" s="101">
        <v>0</v>
      </c>
    </row>
    <row r="51" spans="1:12" s="135" customFormat="1" ht="20.25" customHeight="1">
      <c r="A51" s="130"/>
      <c r="B51" s="215" t="s">
        <v>148</v>
      </c>
      <c r="C51" s="215"/>
      <c r="D51" s="215"/>
      <c r="E51" s="133" t="s">
        <v>146</v>
      </c>
      <c r="F51" s="133"/>
      <c r="G51" s="134" t="s">
        <v>155</v>
      </c>
      <c r="H51" s="217"/>
      <c r="I51" s="217"/>
      <c r="J51" s="217"/>
      <c r="L51" s="134"/>
    </row>
    <row r="52" spans="1:10" s="102" customFormat="1" ht="15.75" customHeight="1" hidden="1">
      <c r="A52" s="137">
        <f>A50+Vorgaben!$D$3+Vorgaben!$D$5</f>
        <v>0.8993055555555552</v>
      </c>
      <c r="B52" s="138" t="e">
        <f>B50+1</f>
        <v>#VALUE!</v>
      </c>
      <c r="C52" s="228" t="s">
        <v>71</v>
      </c>
      <c r="D52" s="228"/>
      <c r="E52" s="147" t="str">
        <f>IF(Rechnen2!$V$3=6,'Gruppen-Tabellen2'!B5,"E3")</f>
        <v>Tisch 2 C2</v>
      </c>
      <c r="F52" s="140" t="s">
        <v>14</v>
      </c>
      <c r="G52" s="141" t="str">
        <f>IF(OR(H48="",J48=""),"Winner V (Spiel 49)",IF(H48&gt;J48,E48,IF(H48&lt;=J48,G48)))</f>
        <v>Tisch 2 B1</v>
      </c>
      <c r="H52" s="100"/>
      <c r="I52" s="98" t="s">
        <v>14</v>
      </c>
      <c r="J52" s="101"/>
    </row>
    <row r="53" spans="1:12" s="135" customFormat="1" ht="15" customHeight="1" hidden="1">
      <c r="A53" s="130"/>
      <c r="B53" s="131"/>
      <c r="C53" s="132"/>
      <c r="D53" s="132"/>
      <c r="E53" s="133" t="s">
        <v>68</v>
      </c>
      <c r="F53" s="133"/>
      <c r="G53" s="134" t="s">
        <v>69</v>
      </c>
      <c r="H53" s="217"/>
      <c r="I53" s="217"/>
      <c r="J53" s="217"/>
      <c r="L53" s="134"/>
    </row>
    <row r="54" spans="1:10" s="102" customFormat="1" ht="15.75" customHeight="1" hidden="1">
      <c r="A54" s="137">
        <f>A52+Vorgaben!$D$3+Vorgaben!$D$5</f>
        <v>0.9097222222222219</v>
      </c>
      <c r="B54" s="138" t="e">
        <f>B52+1</f>
        <v>#VALUE!</v>
      </c>
      <c r="C54" s="228" t="s">
        <v>72</v>
      </c>
      <c r="D54" s="228"/>
      <c r="E54" s="147" t="str">
        <f>IF(Rechnen2!$W$3=6,'Gruppen-Tabellen2'!B11,"F3")</f>
        <v>F3</v>
      </c>
      <c r="F54" s="140" t="s">
        <v>14</v>
      </c>
      <c r="G54" s="141" t="str">
        <f>IF(OR(H50="",J50=""),"Winner W (Spiel 50)",IF(H50&gt;J50,E50,IF(H50&lt;=J50,G50)))</f>
        <v>Tisch 1 A1</v>
      </c>
      <c r="H54" s="100"/>
      <c r="I54" s="98" t="s">
        <v>14</v>
      </c>
      <c r="J54" s="101"/>
    </row>
    <row r="55" spans="1:12" s="135" customFormat="1" ht="16.5" customHeight="1" hidden="1">
      <c r="A55" s="130"/>
      <c r="B55" s="145"/>
      <c r="C55" s="146"/>
      <c r="D55" s="146"/>
      <c r="E55" s="133" t="s">
        <v>70</v>
      </c>
      <c r="F55" s="133"/>
      <c r="G55" s="134" t="s">
        <v>73</v>
      </c>
      <c r="H55" s="217"/>
      <c r="I55" s="217"/>
      <c r="J55" s="217"/>
      <c r="L55" s="134"/>
    </row>
    <row r="56" spans="1:10" s="102" customFormat="1" ht="15.75" customHeight="1">
      <c r="A56" s="137">
        <f>A50</f>
        <v>0.8888888888888886</v>
      </c>
      <c r="B56" s="227" t="s">
        <v>93</v>
      </c>
      <c r="C56" s="227"/>
      <c r="D56" s="227"/>
      <c r="E56" s="147" t="str">
        <f>IF(Rechnen2!$V$3=6,'Gruppen-Tabellen2'!B6,"Vierter Gruppe A Zw.-runde")</f>
        <v>Tisch 4 D2</v>
      </c>
      <c r="F56" s="140" t="s">
        <v>14</v>
      </c>
      <c r="G56" s="148" t="str">
        <f>IF(Rechnen2!$X$3=6,'Gruppen-Tabellen2'!B18,"Vierter Gruppe B Zw.-runde")</f>
        <v>Tisch 4 D1</v>
      </c>
      <c r="H56" s="100">
        <v>3</v>
      </c>
      <c r="I56" s="98" t="s">
        <v>14</v>
      </c>
      <c r="J56" s="101">
        <v>4</v>
      </c>
    </row>
    <row r="57" spans="1:12" s="135" customFormat="1" ht="20.25" customHeight="1">
      <c r="A57" s="130"/>
      <c r="B57" s="215" t="s">
        <v>150</v>
      </c>
      <c r="C57" s="215"/>
      <c r="D57" s="215"/>
      <c r="E57" s="133" t="s">
        <v>157</v>
      </c>
      <c r="F57" s="133"/>
      <c r="G57" s="134" t="s">
        <v>158</v>
      </c>
      <c r="H57" s="217" t="s">
        <v>159</v>
      </c>
      <c r="I57" s="217"/>
      <c r="J57" s="217"/>
      <c r="L57" s="134"/>
    </row>
    <row r="58" spans="1:10" s="102" customFormat="1" ht="15.75" customHeight="1">
      <c r="A58" s="137">
        <f>A56</f>
        <v>0.8888888888888886</v>
      </c>
      <c r="B58" s="227" t="s">
        <v>94</v>
      </c>
      <c r="C58" s="226"/>
      <c r="D58" s="226"/>
      <c r="E58" s="147" t="str">
        <f>IF(Rechnen2!$V$3=6,'Gruppen-Tabellen2'!B5,"Dritter Gruppe A Zw.-runde")</f>
        <v>Tisch 2 C2</v>
      </c>
      <c r="F58" s="140" t="s">
        <v>14</v>
      </c>
      <c r="G58" s="148" t="str">
        <f>IF(Rechnen2!$X$3=6,'Gruppen-Tabellen2'!B17,"Vierter Gruppe B Zw.-runde")</f>
        <v>Tisch 2 C1</v>
      </c>
      <c r="H58" s="100">
        <v>1</v>
      </c>
      <c r="I58" s="98" t="s">
        <v>14</v>
      </c>
      <c r="J58" s="101">
        <v>2</v>
      </c>
    </row>
    <row r="59" spans="1:12" s="135" customFormat="1" ht="20.25" customHeight="1">
      <c r="A59" s="130"/>
      <c r="B59" s="215" t="s">
        <v>151</v>
      </c>
      <c r="C59" s="215"/>
      <c r="D59" s="215"/>
      <c r="E59" s="133" t="s">
        <v>154</v>
      </c>
      <c r="F59" s="133"/>
      <c r="G59" s="134" t="s">
        <v>156</v>
      </c>
      <c r="H59" s="217"/>
      <c r="I59" s="217"/>
      <c r="J59" s="217"/>
      <c r="L59" s="134"/>
    </row>
    <row r="60" spans="1:10" s="102" customFormat="1" ht="15.75" customHeight="1" hidden="1">
      <c r="A60" s="137">
        <f>A58+Vorgaben!$D$3+Vorgaben!$D$5</f>
        <v>0.8993055555555552</v>
      </c>
      <c r="B60" s="138" t="e">
        <f>B59+1</f>
        <v>#VALUE!</v>
      </c>
      <c r="C60" s="228" t="s">
        <v>81</v>
      </c>
      <c r="D60" s="228"/>
      <c r="E60" s="139" t="str">
        <f>IF(OR(H52="",J52=""),"Winner X (Spiel 51)",IF(H52&gt;J52,E52,IF(H52&lt;=J52,G52)))</f>
        <v>Winner X (Spiel 51)</v>
      </c>
      <c r="F60" s="140" t="s">
        <v>14</v>
      </c>
      <c r="G60" s="151" t="str">
        <f>IF(Rechnen2!$V$3=6,'Gruppen-Tabellen2'!B4,"E2")</f>
        <v>Tisch 2 B1</v>
      </c>
      <c r="H60" s="100"/>
      <c r="I60" s="98" t="s">
        <v>14</v>
      </c>
      <c r="J60" s="101"/>
    </row>
    <row r="61" spans="1:12" s="135" customFormat="1" ht="15" customHeight="1" hidden="1">
      <c r="A61" s="130"/>
      <c r="B61" s="131"/>
      <c r="C61" s="132"/>
      <c r="D61" s="132"/>
      <c r="E61" s="133" t="s">
        <v>91</v>
      </c>
      <c r="F61" s="133"/>
      <c r="G61" s="134" t="s">
        <v>80</v>
      </c>
      <c r="H61" s="217"/>
      <c r="I61" s="217"/>
      <c r="J61" s="217"/>
      <c r="L61" s="134"/>
    </row>
    <row r="62" spans="1:10" s="102" customFormat="1" ht="15.75" customHeight="1" hidden="1">
      <c r="A62" s="137">
        <f>A60+Vorgaben!$D$3+Vorgaben!$D$5</f>
        <v>0.9097222222222219</v>
      </c>
      <c r="B62" s="138" t="e">
        <f>B60+1</f>
        <v>#VALUE!</v>
      </c>
      <c r="C62" s="228" t="s">
        <v>83</v>
      </c>
      <c r="D62" s="228"/>
      <c r="E62" s="139" t="str">
        <f>IF(OR(H54="",J54=""),"Winner Y (Spiel 52)",IF(H54&gt;J54,E54,IF(H54&lt;=J54,G54)))</f>
        <v>Winner Y (Spiel 52)</v>
      </c>
      <c r="F62" s="140" t="s">
        <v>14</v>
      </c>
      <c r="G62" s="151" t="str">
        <f>IF(Rechnen2!$W$3=6,'Gruppen-Tabellen2'!B10,"F2")</f>
        <v>F2</v>
      </c>
      <c r="H62" s="100"/>
      <c r="I62" s="98" t="s">
        <v>14</v>
      </c>
      <c r="J62" s="101"/>
    </row>
    <row r="63" spans="1:12" s="135" customFormat="1" ht="15.75" customHeight="1" hidden="1">
      <c r="A63" s="130"/>
      <c r="B63" s="131"/>
      <c r="C63" s="132"/>
      <c r="D63" s="132"/>
      <c r="E63" s="133" t="s">
        <v>82</v>
      </c>
      <c r="F63" s="133"/>
      <c r="G63" s="134" t="s">
        <v>40</v>
      </c>
      <c r="H63" s="217"/>
      <c r="I63" s="217"/>
      <c r="J63" s="217"/>
      <c r="L63" s="134"/>
    </row>
    <row r="64" spans="1:10" s="102" customFormat="1" ht="15.75" customHeight="1" hidden="1">
      <c r="A64" s="94">
        <f>A62+Vorgaben!$D$3+Vorgaben!$D$5</f>
        <v>0.9201388888888885</v>
      </c>
      <c r="B64" s="229" t="s">
        <v>74</v>
      </c>
      <c r="C64" s="230"/>
      <c r="D64" s="230"/>
      <c r="E64" s="153" t="str">
        <f>IF(Rechnen2!$X$3=6,'Gruppen-Tabellen2'!B16,"G2")</f>
        <v>Tisch 2 B2</v>
      </c>
      <c r="F64" s="98" t="s">
        <v>14</v>
      </c>
      <c r="G64" s="152" t="str">
        <f>IF(Rechnen2!$Y$3=6,'Gruppen-Tabellen2'!B22,"H2")</f>
        <v>H2</v>
      </c>
      <c r="H64" s="100"/>
      <c r="I64" s="98" t="s">
        <v>14</v>
      </c>
      <c r="J64" s="101"/>
    </row>
    <row r="65" spans="1:12" s="135" customFormat="1" ht="12" customHeight="1" hidden="1">
      <c r="A65" s="130"/>
      <c r="B65" s="144" t="e">
        <f>B62+1</f>
        <v>#VALUE!</v>
      </c>
      <c r="C65" s="146"/>
      <c r="D65" s="146"/>
      <c r="E65" s="133" t="s">
        <v>75</v>
      </c>
      <c r="F65" s="133"/>
      <c r="G65" s="134" t="s">
        <v>76</v>
      </c>
      <c r="H65" s="217"/>
      <c r="I65" s="217"/>
      <c r="J65" s="217"/>
      <c r="L65" s="134"/>
    </row>
    <row r="66" spans="1:10" s="102" customFormat="1" ht="15.75" customHeight="1" hidden="1">
      <c r="A66" s="94">
        <f>A64+Vorgaben!$D$3+Vorgaben!$D$5</f>
        <v>0.9305555555555551</v>
      </c>
      <c r="B66" s="229" t="s">
        <v>77</v>
      </c>
      <c r="C66" s="230"/>
      <c r="D66" s="230"/>
      <c r="E66" s="128" t="str">
        <f>IF(OR(H48="",J48=""),"Verlierer V (Spiel 49)",IF(H48&lt;J48,E48,IF(H48&gt;=J48,G48)))</f>
        <v>Tisch 1 A2</v>
      </c>
      <c r="F66" s="98" t="s">
        <v>14</v>
      </c>
      <c r="G66" s="129" t="str">
        <f>IF(OR(H50="",J50=""),"Verlierer W (Spiel 50)",IF(H50&lt;J50,E50,IF(H50&gt;=J50,G50)))</f>
        <v>Tisch 2 B2</v>
      </c>
      <c r="H66" s="100"/>
      <c r="I66" s="98" t="s">
        <v>14</v>
      </c>
      <c r="J66" s="101"/>
    </row>
    <row r="67" spans="1:12" s="135" customFormat="1" ht="16.5" customHeight="1" hidden="1">
      <c r="A67" s="130"/>
      <c r="B67" s="144" t="e">
        <f>B65+1</f>
        <v>#VALUE!</v>
      </c>
      <c r="C67" s="146"/>
      <c r="D67" s="146"/>
      <c r="E67" s="133" t="s">
        <v>78</v>
      </c>
      <c r="F67" s="133"/>
      <c r="G67" s="134" t="s">
        <v>79</v>
      </c>
      <c r="H67" s="217"/>
      <c r="I67" s="217"/>
      <c r="J67" s="217"/>
      <c r="L67" s="134"/>
    </row>
    <row r="68" spans="1:10" s="102" customFormat="1" ht="15.75" customHeight="1" hidden="1">
      <c r="A68" s="137">
        <f>A66+Vorgaben!$D$3+Vorgaben!$D$5</f>
        <v>0.9409722222222218</v>
      </c>
      <c r="B68" s="138" t="e">
        <f>B67+1</f>
        <v>#VALUE!</v>
      </c>
      <c r="C68" s="234" t="s">
        <v>88</v>
      </c>
      <c r="D68" s="234"/>
      <c r="E68" s="139" t="str">
        <f>IF(OR(H60="",J60=""),"Winner A (Spiel 55)",IF(H60&gt;J60,E60,IF(H60&lt;=J60,G60)))</f>
        <v>Winner A (Spiel 55)</v>
      </c>
      <c r="F68" s="140" t="s">
        <v>14</v>
      </c>
      <c r="G68" s="151" t="str">
        <f>IF(Rechnen2!$V$3=6,'Gruppen-Tabellen2'!B3,"E1")</f>
        <v>Tisch 1 A1</v>
      </c>
      <c r="H68" s="100"/>
      <c r="I68" s="98" t="s">
        <v>14</v>
      </c>
      <c r="J68" s="101"/>
    </row>
    <row r="69" spans="1:12" s="135" customFormat="1" ht="16.5" customHeight="1" hidden="1">
      <c r="A69" s="130"/>
      <c r="B69" s="142"/>
      <c r="C69" s="143"/>
      <c r="D69" s="143"/>
      <c r="E69" s="133" t="s">
        <v>84</v>
      </c>
      <c r="F69" s="133"/>
      <c r="G69" s="134" t="s">
        <v>86</v>
      </c>
      <c r="H69" s="217"/>
      <c r="I69" s="217"/>
      <c r="J69" s="217"/>
      <c r="L69" s="134"/>
    </row>
    <row r="70" spans="1:10" s="102" customFormat="1" ht="15.75" customHeight="1" hidden="1">
      <c r="A70" s="137">
        <f>A68+Vorgaben!$D$3+Vorgaben!$D$5</f>
        <v>0.9513888888888884</v>
      </c>
      <c r="B70" s="138" t="e">
        <f>B68+1</f>
        <v>#VALUE!</v>
      </c>
      <c r="C70" s="228" t="s">
        <v>89</v>
      </c>
      <c r="D70" s="228"/>
      <c r="E70" s="139" t="str">
        <f>IF(OR(H62="",J62=""),"Winner A (Spiel 56)",IF(H62&gt;J62,E62,IF(H62&lt;=J62,G62)))</f>
        <v>Winner A (Spiel 56)</v>
      </c>
      <c r="F70" s="140" t="s">
        <v>14</v>
      </c>
      <c r="G70" s="151" t="str">
        <f>IF(Rechnen2!$W$3=6,'Gruppen-Tabellen2'!B9,"F1")</f>
        <v>F1</v>
      </c>
      <c r="H70" s="100"/>
      <c r="I70" s="98" t="s">
        <v>14</v>
      </c>
      <c r="J70" s="101"/>
    </row>
    <row r="71" spans="1:12" s="135" customFormat="1" ht="15.75" customHeight="1" hidden="1">
      <c r="A71" s="136"/>
      <c r="B71" s="131"/>
      <c r="C71" s="132"/>
      <c r="D71" s="132"/>
      <c r="E71" s="133" t="s">
        <v>85</v>
      </c>
      <c r="F71" s="133"/>
      <c r="G71" s="134" t="s">
        <v>87</v>
      </c>
      <c r="H71" s="217"/>
      <c r="I71" s="217"/>
      <c r="J71" s="217"/>
      <c r="L71" s="134"/>
    </row>
    <row r="72" spans="1:10" s="102" customFormat="1" ht="15.75" customHeight="1" hidden="1">
      <c r="A72" s="149">
        <f>A70+Vorgaben!$D$3+Vorgaben!$D$5</f>
        <v>0.961805555555555</v>
      </c>
      <c r="B72" s="229" t="s">
        <v>93</v>
      </c>
      <c r="C72" s="230"/>
      <c r="D72" s="230"/>
      <c r="E72" s="128" t="str">
        <f>IF(OR(H52="",J52=""),"Verlierer X (Spiel 51)",IF(H52&lt;J52,E52,IF(H52&gt;=J52,G52)))</f>
        <v>Verlierer X (Spiel 51)</v>
      </c>
      <c r="F72" s="98" t="s">
        <v>14</v>
      </c>
      <c r="G72" s="129" t="str">
        <f>IF(OR(H54="",J54=""),"Verlierer Y (Spiel 52)",IF(H54&lt;J54,E54,IF(H54&gt;=J54,G54)))</f>
        <v>Verlierer Y (Spiel 52)</v>
      </c>
      <c r="H72" s="100"/>
      <c r="I72" s="98" t="s">
        <v>14</v>
      </c>
      <c r="J72" s="101"/>
    </row>
    <row r="73" spans="1:12" s="135" customFormat="1" ht="12" customHeight="1" hidden="1">
      <c r="A73" s="136"/>
      <c r="B73" s="144" t="e">
        <f>B70+1</f>
        <v>#VALUE!</v>
      </c>
      <c r="C73" s="146"/>
      <c r="D73" s="146"/>
      <c r="E73" s="133" t="s">
        <v>90</v>
      </c>
      <c r="F73" s="133"/>
      <c r="G73" s="134" t="s">
        <v>92</v>
      </c>
      <c r="H73" s="217"/>
      <c r="I73" s="217"/>
      <c r="J73" s="217"/>
      <c r="L73" s="134"/>
    </row>
    <row r="74" spans="1:10" s="102" customFormat="1" ht="15.75" customHeight="1" hidden="1">
      <c r="A74" s="149">
        <f>A72+Vorgaben!$D$3+Vorgaben!$D$5</f>
        <v>0.9722222222222217</v>
      </c>
      <c r="B74" s="229" t="s">
        <v>94</v>
      </c>
      <c r="C74" s="230"/>
      <c r="D74" s="230"/>
      <c r="E74" s="128" t="str">
        <f>IF(OR(H60="",J60=""),"Verlierer A (Spiel 55)",IF(H60&lt;J60,E60,IF(H60&gt;=J60,G60)))</f>
        <v>Verlierer A (Spiel 55)</v>
      </c>
      <c r="F74" s="98" t="s">
        <v>14</v>
      </c>
      <c r="G74" s="129" t="str">
        <f>IF(OR(H62="",J62=""),"Verlierer B (Spiel 56)",IF(H62&lt;J62,E62,IF(H62&gt;=J62,G62)))</f>
        <v>Verlierer B (Spiel 56)</v>
      </c>
      <c r="H74" s="100"/>
      <c r="I74" s="98" t="s">
        <v>14</v>
      </c>
      <c r="J74" s="101"/>
    </row>
    <row r="75" spans="1:12" s="135" customFormat="1" ht="12" customHeight="1" hidden="1">
      <c r="A75" s="136"/>
      <c r="B75" s="144" t="e">
        <f>B73+1</f>
        <v>#VALUE!</v>
      </c>
      <c r="C75" s="146"/>
      <c r="D75" s="146"/>
      <c r="E75" s="133" t="s">
        <v>96</v>
      </c>
      <c r="F75" s="133"/>
      <c r="G75" s="134" t="s">
        <v>97</v>
      </c>
      <c r="H75" s="217"/>
      <c r="I75" s="217"/>
      <c r="J75" s="217"/>
      <c r="L75" s="134"/>
    </row>
    <row r="76" spans="1:10" s="102" customFormat="1" ht="15.75" customHeight="1">
      <c r="A76" s="137">
        <f>A58+Vorgaben!$D$3+Vorgaben!$D$11</f>
        <v>0.9027777777777775</v>
      </c>
      <c r="B76" s="227" t="s">
        <v>95</v>
      </c>
      <c r="C76" s="226"/>
      <c r="D76" s="226"/>
      <c r="E76" s="154" t="str">
        <f>IF(OR(H48="",J48=""),"Verlierer (Spiel 37)",IF(H48&lt;J48,E48,IF(H48&gt;=J48,G48)))</f>
        <v>Tisch 1 A2</v>
      </c>
      <c r="F76" s="140" t="s">
        <v>14</v>
      </c>
      <c r="G76" s="155" t="str">
        <f>IF(OR(H50="",J50=""),"Verlierer (Spiel 38)",IF(H50&lt;J50,E50,IF(H50&gt;=J50,G50)))</f>
        <v>Tisch 2 B2</v>
      </c>
      <c r="H76" s="100">
        <v>1</v>
      </c>
      <c r="I76" s="98" t="s">
        <v>14</v>
      </c>
      <c r="J76" s="101">
        <v>2</v>
      </c>
    </row>
    <row r="77" spans="1:12" s="135" customFormat="1" ht="20.25" customHeight="1">
      <c r="A77" s="130"/>
      <c r="B77" s="215" t="s">
        <v>149</v>
      </c>
      <c r="C77" s="215"/>
      <c r="D77" s="215"/>
      <c r="E77" s="133" t="s">
        <v>102</v>
      </c>
      <c r="F77" s="133"/>
      <c r="G77" s="134" t="s">
        <v>105</v>
      </c>
      <c r="H77" s="217"/>
      <c r="I77" s="217"/>
      <c r="J77" s="217"/>
      <c r="L77" s="134"/>
    </row>
    <row r="78" spans="1:10" s="102" customFormat="1" ht="15.75" customHeight="1">
      <c r="A78" s="137">
        <f>A76</f>
        <v>0.9027777777777775</v>
      </c>
      <c r="B78" s="225" t="s">
        <v>101</v>
      </c>
      <c r="C78" s="226"/>
      <c r="D78" s="226"/>
      <c r="E78" s="154" t="str">
        <f>IF(OR(H48="",J48=""),"Sieger (Spiel 37)",IF(H48&gt;J48,E48,IF(H48&lt;=J48,G48)))</f>
        <v>Tisch 2 B1</v>
      </c>
      <c r="F78" s="140" t="s">
        <v>14</v>
      </c>
      <c r="G78" s="155" t="str">
        <f>IF(OR(H50="",J50=""),"Sieger (Spiel 38)",IF(H50&gt;J50,E50,IF(H50&lt;=J50,G50)))</f>
        <v>Tisch 1 A1</v>
      </c>
      <c r="H78" s="100">
        <v>1</v>
      </c>
      <c r="I78" s="98" t="s">
        <v>14</v>
      </c>
      <c r="J78" s="101">
        <v>2</v>
      </c>
    </row>
    <row r="79" spans="1:12" s="135" customFormat="1" ht="33" customHeight="1">
      <c r="A79" s="130"/>
      <c r="B79" s="215" t="s">
        <v>152</v>
      </c>
      <c r="C79" s="215"/>
      <c r="D79" s="215"/>
      <c r="E79" s="133" t="s">
        <v>103</v>
      </c>
      <c r="F79" s="133"/>
      <c r="G79" s="134" t="s">
        <v>104</v>
      </c>
      <c r="H79" s="217"/>
      <c r="I79" s="217"/>
      <c r="J79" s="217"/>
      <c r="L79" s="134"/>
    </row>
    <row r="80" spans="2:11" ht="15" customHeight="1" hidden="1">
      <c r="B80" s="88"/>
      <c r="E80" s="88"/>
      <c r="G80" s="88"/>
      <c r="I80" s="88"/>
      <c r="K80" s="95"/>
    </row>
    <row r="81" spans="2:11" ht="15" customHeight="1" hidden="1">
      <c r="B81" s="88"/>
      <c r="E81" s="88"/>
      <c r="G81" s="88"/>
      <c r="I81" s="88"/>
      <c r="K81" s="95"/>
    </row>
    <row r="82" spans="2:11" ht="15" customHeight="1" hidden="1">
      <c r="B82" s="88"/>
      <c r="E82" s="88"/>
      <c r="G82" s="88"/>
      <c r="I82" s="88"/>
      <c r="K82" s="95"/>
    </row>
    <row r="83" spans="2:11" ht="15" customHeight="1" hidden="1">
      <c r="B83" s="88"/>
      <c r="E83" s="88"/>
      <c r="G83" s="88"/>
      <c r="I83" s="88"/>
      <c r="K83" s="95"/>
    </row>
    <row r="84" spans="1:11" ht="15">
      <c r="A84" s="88"/>
      <c r="B84" s="106" t="s">
        <v>47</v>
      </c>
      <c r="C84" s="222" t="str">
        <f>IF(OR(H78="",J78=""),"Sieger Endspiel",IF(H78&gt;J78,E78,IF(H78&lt;=J78,G78)))</f>
        <v>Tisch 1 A1</v>
      </c>
      <c r="D84" s="223"/>
      <c r="E84" s="223"/>
      <c r="F84" s="224"/>
      <c r="G84" s="107"/>
      <c r="K84" s="95"/>
    </row>
    <row r="85" spans="1:7" ht="15">
      <c r="A85" s="88"/>
      <c r="B85" s="106" t="s">
        <v>48</v>
      </c>
      <c r="C85" s="222" t="str">
        <f>IF(OR(H78="",J78=""),"Verlierer Endspiel",IF(H78&lt;J78,E78,IF(H78&gt;=J78,G78)))</f>
        <v>Tisch 2 B1</v>
      </c>
      <c r="D85" s="223"/>
      <c r="E85" s="223"/>
      <c r="F85" s="224"/>
      <c r="G85" s="107"/>
    </row>
    <row r="86" spans="1:7" ht="15">
      <c r="A86" s="88"/>
      <c r="B86" s="106" t="s">
        <v>49</v>
      </c>
      <c r="C86" s="222" t="str">
        <f>IF(OR(H76="",J76=""),"Sieger Spiel 41",IF(H76&gt;J76,E76,IF(H76&lt;=J76,G76)))</f>
        <v>Tisch 2 B2</v>
      </c>
      <c r="D86" s="222"/>
      <c r="E86" s="222"/>
      <c r="F86" s="241"/>
      <c r="G86" s="107"/>
    </row>
    <row r="87" spans="1:7" ht="15">
      <c r="A87" s="88"/>
      <c r="B87" s="106" t="s">
        <v>50</v>
      </c>
      <c r="C87" s="222" t="str">
        <f>IF(OR(H76="",J76=""),"Verlierer Spiel 41",IF(H76&lt;J76,E76,IF(H76&gt;=J76,G76)))</f>
        <v>Tisch 1 A2</v>
      </c>
      <c r="D87" s="222"/>
      <c r="E87" s="222"/>
      <c r="F87" s="241"/>
      <c r="G87" s="107"/>
    </row>
    <row r="88" spans="1:7" ht="15">
      <c r="A88" s="88"/>
      <c r="B88" s="106" t="s">
        <v>51</v>
      </c>
      <c r="C88" s="222" t="str">
        <f>IF(OR(H58="",J58=""),"Sieger Spiel 40",IF(H58&gt;J58,E58,IF(H58&lt;=J58,G58)))</f>
        <v>Tisch 2 C1</v>
      </c>
      <c r="D88" s="222"/>
      <c r="E88" s="222"/>
      <c r="F88" s="241"/>
      <c r="G88" s="107"/>
    </row>
    <row r="89" spans="1:7" ht="15">
      <c r="A89" s="88"/>
      <c r="B89" s="106" t="s">
        <v>52</v>
      </c>
      <c r="C89" s="222" t="str">
        <f>IF(OR(H58="",J58=""),"Verlierer Spiel 40",IF(H58&lt;J58,E58,IF(H58&gt;=J58,G58)))</f>
        <v>Tisch 2 C2</v>
      </c>
      <c r="D89" s="222"/>
      <c r="E89" s="222"/>
      <c r="F89" s="241"/>
      <c r="G89" s="107"/>
    </row>
    <row r="90" spans="1:7" ht="15">
      <c r="A90" s="88"/>
      <c r="B90" s="106" t="s">
        <v>53</v>
      </c>
      <c r="C90" s="222" t="str">
        <f>IF(OR(H56="",J56=""),"Sieger Spiel 39",IF(H56&gt;J56,E56,IF(H56&lt;=J56,G56)))</f>
        <v>Tisch 4 D1</v>
      </c>
      <c r="D90" s="222"/>
      <c r="E90" s="222"/>
      <c r="F90" s="241"/>
      <c r="G90" s="107"/>
    </row>
    <row r="91" spans="1:7" ht="15">
      <c r="A91" s="88"/>
      <c r="B91" s="106" t="s">
        <v>54</v>
      </c>
      <c r="C91" s="222" t="str">
        <f>IF(OR(H56="",J56=""),"Verlierer Spiel 39",IF(H56&lt;J56,E56,IF(H56&gt;=J56,G56)))</f>
        <v>Tisch 4 D2</v>
      </c>
      <c r="D91" s="222"/>
      <c r="E91" s="222"/>
      <c r="F91" s="241"/>
      <c r="G91" s="107"/>
    </row>
    <row r="92" spans="1:7" ht="15">
      <c r="A92" s="88"/>
      <c r="B92" s="156"/>
      <c r="C92" s="216"/>
      <c r="D92" s="216"/>
      <c r="E92" s="216"/>
      <c r="F92" s="216"/>
      <c r="G92" s="157"/>
    </row>
    <row r="93" spans="1:7" ht="15">
      <c r="A93" s="88"/>
      <c r="B93" s="156"/>
      <c r="C93" s="216"/>
      <c r="D93" s="216"/>
      <c r="E93" s="216"/>
      <c r="F93" s="216"/>
      <c r="G93" s="157"/>
    </row>
    <row r="94" spans="1:7" ht="15">
      <c r="A94" s="88"/>
      <c r="B94" s="156"/>
      <c r="C94" s="216"/>
      <c r="D94" s="216"/>
      <c r="E94" s="216"/>
      <c r="F94" s="216"/>
      <c r="G94" s="157"/>
    </row>
    <row r="95" spans="1:7" ht="15">
      <c r="A95" s="88"/>
      <c r="B95" s="156"/>
      <c r="C95" s="216"/>
      <c r="D95" s="216"/>
      <c r="E95" s="216"/>
      <c r="F95" s="216"/>
      <c r="G95" s="157"/>
    </row>
    <row r="96" spans="2:7" ht="15">
      <c r="B96" s="156"/>
      <c r="C96" s="216"/>
      <c r="D96" s="216"/>
      <c r="E96" s="216"/>
      <c r="F96" s="216"/>
      <c r="G96" s="158"/>
    </row>
    <row r="97" spans="2:7" ht="15">
      <c r="B97" s="156"/>
      <c r="C97" s="216"/>
      <c r="D97" s="216"/>
      <c r="E97" s="216"/>
      <c r="F97" s="216"/>
      <c r="G97" s="158"/>
    </row>
    <row r="98" spans="1:7" ht="15">
      <c r="A98" s="88"/>
      <c r="B98" s="156"/>
      <c r="C98" s="216"/>
      <c r="D98" s="216"/>
      <c r="E98" s="216"/>
      <c r="F98" s="216"/>
      <c r="G98" s="88"/>
    </row>
    <row r="99" spans="1:7" ht="15">
      <c r="A99" s="88"/>
      <c r="B99" s="156"/>
      <c r="C99" s="216"/>
      <c r="D99" s="216"/>
      <c r="E99" s="216"/>
      <c r="F99" s="216"/>
      <c r="G99" s="88"/>
    </row>
    <row r="100" spans="1:7" ht="15">
      <c r="A100" s="88"/>
      <c r="B100" s="156"/>
      <c r="C100" s="216"/>
      <c r="D100" s="216"/>
      <c r="E100" s="216"/>
      <c r="F100" s="216"/>
      <c r="G100" s="88"/>
    </row>
  </sheetData>
  <sheetProtection/>
  <mergeCells count="117">
    <mergeCell ref="G3:H3"/>
    <mergeCell ref="G4:H4"/>
    <mergeCell ref="G11:H11"/>
    <mergeCell ref="G6:H6"/>
    <mergeCell ref="G12:H12"/>
    <mergeCell ref="G18:H18"/>
    <mergeCell ref="G19:H19"/>
    <mergeCell ref="A9:D9"/>
    <mergeCell ref="A12:D12"/>
    <mergeCell ref="A13:D13"/>
    <mergeCell ref="G16:H16"/>
    <mergeCell ref="G9:H9"/>
    <mergeCell ref="A18:D18"/>
    <mergeCell ref="G15:H15"/>
    <mergeCell ref="A19:D19"/>
    <mergeCell ref="A5:D5"/>
    <mergeCell ref="A6:D6"/>
    <mergeCell ref="A7:D7"/>
    <mergeCell ref="A8:D8"/>
    <mergeCell ref="G17:H17"/>
    <mergeCell ref="G7:H7"/>
    <mergeCell ref="G8:H8"/>
    <mergeCell ref="G5:H5"/>
    <mergeCell ref="G13:H13"/>
    <mergeCell ref="G14:H14"/>
    <mergeCell ref="A1:D1"/>
    <mergeCell ref="A2:D2"/>
    <mergeCell ref="A3:D3"/>
    <mergeCell ref="A4:D4"/>
    <mergeCell ref="C93:F93"/>
    <mergeCell ref="C98:F98"/>
    <mergeCell ref="C86:F86"/>
    <mergeCell ref="C87:F87"/>
    <mergeCell ref="C88:F88"/>
    <mergeCell ref="B56:D56"/>
    <mergeCell ref="C99:F99"/>
    <mergeCell ref="C94:F94"/>
    <mergeCell ref="C95:F95"/>
    <mergeCell ref="C96:F96"/>
    <mergeCell ref="C97:F97"/>
    <mergeCell ref="C89:F89"/>
    <mergeCell ref="C90:F90"/>
    <mergeCell ref="C91:F91"/>
    <mergeCell ref="C92:F92"/>
    <mergeCell ref="B72:D72"/>
    <mergeCell ref="B66:D66"/>
    <mergeCell ref="C68:D68"/>
    <mergeCell ref="A14:D14"/>
    <mergeCell ref="A15:D15"/>
    <mergeCell ref="A16:D16"/>
    <mergeCell ref="A17:D17"/>
    <mergeCell ref="C21:D21"/>
    <mergeCell ref="C24:D24"/>
    <mergeCell ref="C27:D27"/>
    <mergeCell ref="C23:D23"/>
    <mergeCell ref="C35:D35"/>
    <mergeCell ref="C26:D26"/>
    <mergeCell ref="C37:D37"/>
    <mergeCell ref="C25:D25"/>
    <mergeCell ref="C36:D36"/>
    <mergeCell ref="B48:D48"/>
    <mergeCell ref="B50:D50"/>
    <mergeCell ref="C22:D22"/>
    <mergeCell ref="C44:D44"/>
    <mergeCell ref="C52:D52"/>
    <mergeCell ref="C54:D54"/>
    <mergeCell ref="C42:D42"/>
    <mergeCell ref="C31:D31"/>
    <mergeCell ref="C43:D43"/>
    <mergeCell ref="C45:D45"/>
    <mergeCell ref="C29:D29"/>
    <mergeCell ref="C40:D40"/>
    <mergeCell ref="C32:D32"/>
    <mergeCell ref="E46:G46"/>
    <mergeCell ref="C30:D30"/>
    <mergeCell ref="C41:D41"/>
    <mergeCell ref="C33:D33"/>
    <mergeCell ref="C34:D34"/>
    <mergeCell ref="C38:D38"/>
    <mergeCell ref="B47:D47"/>
    <mergeCell ref="C39:D39"/>
    <mergeCell ref="C28:D28"/>
    <mergeCell ref="H57:J57"/>
    <mergeCell ref="H53:J53"/>
    <mergeCell ref="H55:J55"/>
    <mergeCell ref="H49:J49"/>
    <mergeCell ref="H51:J51"/>
    <mergeCell ref="H59:J59"/>
    <mergeCell ref="H61:J61"/>
    <mergeCell ref="B58:D58"/>
    <mergeCell ref="C60:D60"/>
    <mergeCell ref="H71:J71"/>
    <mergeCell ref="B64:D64"/>
    <mergeCell ref="H63:J63"/>
    <mergeCell ref="H69:J69"/>
    <mergeCell ref="C70:D70"/>
    <mergeCell ref="H67:J67"/>
    <mergeCell ref="C100:F100"/>
    <mergeCell ref="H73:J73"/>
    <mergeCell ref="H65:J65"/>
    <mergeCell ref="F1:H1"/>
    <mergeCell ref="G2:H2"/>
    <mergeCell ref="H79:J79"/>
    <mergeCell ref="C85:F85"/>
    <mergeCell ref="H75:J75"/>
    <mergeCell ref="H77:J77"/>
    <mergeCell ref="C84:F84"/>
    <mergeCell ref="B49:D49"/>
    <mergeCell ref="B51:D51"/>
    <mergeCell ref="B57:D57"/>
    <mergeCell ref="B59:D59"/>
    <mergeCell ref="B77:D77"/>
    <mergeCell ref="B79:D79"/>
    <mergeCell ref="B78:D78"/>
    <mergeCell ref="B76:D76"/>
    <mergeCell ref="C62:D62"/>
    <mergeCell ref="B74:D74"/>
  </mergeCells>
  <printOptions/>
  <pageMargins left="0.5118110236220472" right="0.15748031496062992" top="0.7480314960629921" bottom="0.2755905511811024" header="0.2362204724409449" footer="0"/>
  <pageSetup horizontalDpi="300" verticalDpi="300" orientation="portrait" paperSize="9" scale="95" r:id="rId2"/>
  <headerFooter alignWithMargins="0">
    <oddHeader>&amp;C&amp;"Arial,Fett"&amp;14&amp;EMinistranten-Turnier  Altersklasse II
Spielplan Zwischen- Endrunde
&amp;R15.12.2007
Stadionhalle Wiesloch</oddHeader>
  </headerFooter>
  <legacyDrawing r:id="rId1"/>
</worksheet>
</file>

<file path=xl/worksheets/sheet6.xml><?xml version="1.0" encoding="utf-8"?>
<worksheet xmlns="http://schemas.openxmlformats.org/spreadsheetml/2006/main" xmlns:r="http://schemas.openxmlformats.org/officeDocument/2006/relationships">
  <sheetPr codeName="Tabelle1"/>
  <dimension ref="A1:O24"/>
  <sheetViews>
    <sheetView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58" t="s">
        <v>55</v>
      </c>
      <c r="C1" s="259"/>
      <c r="D1" s="259"/>
      <c r="E1" s="259"/>
      <c r="F1" s="259"/>
      <c r="G1" s="259"/>
      <c r="H1" s="259"/>
      <c r="I1" s="30"/>
      <c r="J1" s="30"/>
      <c r="K1" s="30"/>
      <c r="L1" s="30"/>
      <c r="M1" s="30"/>
      <c r="N1" s="30"/>
      <c r="O1" s="30"/>
    </row>
    <row r="2" spans="1:9" ht="30" customHeight="1">
      <c r="A2" s="31" t="s">
        <v>36</v>
      </c>
      <c r="B2" s="32" t="s">
        <v>0</v>
      </c>
      <c r="C2" s="33" t="s">
        <v>28</v>
      </c>
      <c r="D2" s="32" t="s">
        <v>1</v>
      </c>
      <c r="E2" s="260" t="s">
        <v>2</v>
      </c>
      <c r="F2" s="260"/>
      <c r="G2" s="260"/>
      <c r="H2" s="32" t="s">
        <v>29</v>
      </c>
      <c r="I2" s="34"/>
    </row>
    <row r="3" spans="1:9" ht="18" customHeight="1">
      <c r="A3" s="37">
        <f>IF(Rechnen!$V$3=0,"",1)</f>
        <v>1</v>
      </c>
      <c r="B3" s="38" t="str">
        <f>Rechnen!K3</f>
        <v>Tisch 1 A1</v>
      </c>
      <c r="C3" s="38">
        <f>IF(Rechnen!$V$3=0,"",Rechnen!L3)</f>
        <v>3</v>
      </c>
      <c r="D3" s="38">
        <f>IF(Rechnen!$V$3=0,"",Rechnen!M3)</f>
        <v>3</v>
      </c>
      <c r="E3" s="38">
        <f>IF(Rechnen!$V$3=0,"",Rechnen!N3)</f>
        <v>3</v>
      </c>
      <c r="F3" s="39" t="s">
        <v>14</v>
      </c>
      <c r="G3" s="38">
        <f>IF(Rechnen!$V$3=0,"",Rechnen!P3)</f>
        <v>3</v>
      </c>
      <c r="H3" s="40">
        <f>IF(AND(E3="",G3=""),"",(E3-G3))</f>
        <v>0</v>
      </c>
      <c r="I3" s="41"/>
    </row>
    <row r="4" spans="1:9" ht="18" customHeight="1">
      <c r="A4" s="37">
        <f>IF(Rechnen!$V$3=0,"",2)</f>
        <v>2</v>
      </c>
      <c r="B4" s="38" t="str">
        <f>Rechnen!K4</f>
        <v>Tisch 1 A2</v>
      </c>
      <c r="C4" s="38">
        <f>IF(Rechnen!$V$3=0,"",Rechnen!L4)</f>
        <v>3</v>
      </c>
      <c r="D4" s="38">
        <f>IF(Rechnen!$V$3=0,"",Rechnen!M4)</f>
        <v>3</v>
      </c>
      <c r="E4" s="38">
        <f>IF(Rechnen!$V$3=0,"",Rechnen!N4)</f>
        <v>3</v>
      </c>
      <c r="F4" s="39" t="s">
        <v>14</v>
      </c>
      <c r="G4" s="38">
        <f>IF(Rechnen!$V$3=0,"",Rechnen!P4)</f>
        <v>3</v>
      </c>
      <c r="H4" s="40">
        <f>IF(AND(E4="",G4=""),"",(E4-G4))</f>
        <v>0</v>
      </c>
      <c r="I4" s="41"/>
    </row>
    <row r="5" spans="1:9" ht="18" customHeight="1">
      <c r="A5" s="37">
        <f>IF(Rechnen!$V$3=0,"",3)</f>
        <v>3</v>
      </c>
      <c r="B5" s="38" t="str">
        <f>Rechnen!K5</f>
        <v>Tisch 1 A3</v>
      </c>
      <c r="C5" s="38">
        <f>IF(Rechnen!$V$3=0,"",Rechnen!L5)</f>
        <v>3</v>
      </c>
      <c r="D5" s="38">
        <f>IF(Rechnen!$V$3=0,"",Rechnen!M5)</f>
        <v>3</v>
      </c>
      <c r="E5" s="38">
        <f>IF(Rechnen!$V$3=0,"",Rechnen!N5)</f>
        <v>3</v>
      </c>
      <c r="F5" s="39" t="s">
        <v>14</v>
      </c>
      <c r="G5" s="38">
        <f>IF(Rechnen!$V$3=0,"",Rechnen!P5)</f>
        <v>3</v>
      </c>
      <c r="H5" s="40">
        <f>IF(AND(E5="",G5=""),"",(E5-G5))</f>
        <v>0</v>
      </c>
      <c r="I5" s="41"/>
    </row>
    <row r="6" spans="1:9" ht="18" customHeight="1">
      <c r="A6" s="37">
        <f>IF(Rechnen!$V$3=0,"",4)</f>
        <v>4</v>
      </c>
      <c r="B6" s="38" t="str">
        <f>Rechnen!K6</f>
        <v>Tisch 1 A4</v>
      </c>
      <c r="C6" s="38">
        <f>IF(Rechnen!$V$3=0,"",Rechnen!L6)</f>
        <v>3</v>
      </c>
      <c r="D6" s="38">
        <f>IF(Rechnen!$V$3=0,"",Rechnen!M6)</f>
        <v>3</v>
      </c>
      <c r="E6" s="38">
        <f>IF(Rechnen!$V$3=0,"",Rechnen!N6)</f>
        <v>3</v>
      </c>
      <c r="F6" s="39" t="s">
        <v>14</v>
      </c>
      <c r="G6" s="38">
        <f>IF(Rechnen!$V$3=0,"",Rechnen!P6)</f>
        <v>3</v>
      </c>
      <c r="H6" s="40">
        <f>IF(AND(E6="",G6=""),"",(E6-G6))</f>
        <v>0</v>
      </c>
      <c r="I6" s="41"/>
    </row>
    <row r="7" spans="1:15" ht="15" customHeight="1">
      <c r="A7" s="254"/>
      <c r="B7" s="256" t="s">
        <v>6</v>
      </c>
      <c r="C7" s="261" t="s">
        <v>28</v>
      </c>
      <c r="D7" s="256" t="s">
        <v>1</v>
      </c>
      <c r="E7" s="256" t="s">
        <v>2</v>
      </c>
      <c r="F7" s="256"/>
      <c r="G7" s="256"/>
      <c r="H7" s="256" t="s">
        <v>29</v>
      </c>
      <c r="I7" s="42"/>
      <c r="J7" s="43"/>
      <c r="K7" s="43"/>
      <c r="L7" s="44"/>
      <c r="M7" s="45"/>
      <c r="N7" s="46"/>
      <c r="O7" s="46"/>
    </row>
    <row r="8" spans="1:15" ht="15" customHeight="1">
      <c r="A8" s="255"/>
      <c r="B8" s="257"/>
      <c r="C8" s="262"/>
      <c r="D8" s="257"/>
      <c r="E8" s="257"/>
      <c r="F8" s="257"/>
      <c r="G8" s="257"/>
      <c r="H8" s="257"/>
      <c r="I8" s="42"/>
      <c r="J8" s="43"/>
      <c r="K8" s="43"/>
      <c r="L8" s="44"/>
      <c r="M8" s="45"/>
      <c r="N8" s="46"/>
      <c r="O8" s="46"/>
    </row>
    <row r="9" spans="1:15" ht="18" customHeight="1">
      <c r="A9" s="37">
        <f>IF(Rechnen!$W$3=0,"",1)</f>
        <v>1</v>
      </c>
      <c r="B9" s="38" t="str">
        <f>Rechnen!K10</f>
        <v>Tisch 2 B1</v>
      </c>
      <c r="C9" s="38">
        <f>IF(Rechnen!$W$3=0,"",Rechnen!L10)</f>
        <v>3</v>
      </c>
      <c r="D9" s="38">
        <f>IF(Rechnen!$W$3=0,"",Rechnen!M10)</f>
        <v>3</v>
      </c>
      <c r="E9" s="38">
        <f>IF(Rechnen!$W$3=0,"",Rechnen!N10)</f>
        <v>3</v>
      </c>
      <c r="F9" s="39" t="s">
        <v>14</v>
      </c>
      <c r="G9" s="38">
        <f>IF(Rechnen!$W$3=0,"",Rechnen!P10)</f>
        <v>3</v>
      </c>
      <c r="H9" s="40">
        <f>IF(AND(E9="",G9=""),"",(E9-G9))</f>
        <v>0</v>
      </c>
      <c r="I9" s="47"/>
      <c r="J9" s="45"/>
      <c r="K9" s="47"/>
      <c r="L9" s="44"/>
      <c r="M9" s="45"/>
      <c r="N9" s="46"/>
      <c r="O9" s="46"/>
    </row>
    <row r="10" spans="1:15" ht="18" customHeight="1">
      <c r="A10" s="37">
        <f>IF(Rechnen!$W$3=0,"",2)</f>
        <v>2</v>
      </c>
      <c r="B10" s="38" t="str">
        <f>Rechnen!K11</f>
        <v>Tisch 2 B2</v>
      </c>
      <c r="C10" s="38">
        <f>IF(Rechnen!$W$3=0,"",Rechnen!L11)</f>
        <v>3</v>
      </c>
      <c r="D10" s="38">
        <f>IF(Rechnen!$W$3=0,"",Rechnen!M11)</f>
        <v>3</v>
      </c>
      <c r="E10" s="38">
        <f>IF(Rechnen!$W$3=0,"",Rechnen!N11)</f>
        <v>3</v>
      </c>
      <c r="F10" s="39" t="s">
        <v>14</v>
      </c>
      <c r="G10" s="38">
        <f>IF(Rechnen!$W$3=0,"",Rechnen!P11)</f>
        <v>3</v>
      </c>
      <c r="H10" s="40">
        <f>IF(AND(E10="",G10=""),"",(E10-G10))</f>
        <v>0</v>
      </c>
      <c r="I10" s="48"/>
      <c r="J10" s="49"/>
      <c r="K10" s="49"/>
      <c r="L10" s="49"/>
      <c r="M10" s="49"/>
      <c r="N10" s="49"/>
      <c r="O10" s="49"/>
    </row>
    <row r="11" spans="1:9" ht="18" customHeight="1">
      <c r="A11" s="37">
        <f>IF(Rechnen!$W$3=0,"",3)</f>
        <v>3</v>
      </c>
      <c r="B11" s="38" t="str">
        <f>Rechnen!K12</f>
        <v>Tisch 2 B3</v>
      </c>
      <c r="C11" s="38">
        <f>IF(Rechnen!$W$3=0,"",Rechnen!L12)</f>
        <v>3</v>
      </c>
      <c r="D11" s="38">
        <f>IF(Rechnen!$W$3=0,"",Rechnen!M12)</f>
        <v>3</v>
      </c>
      <c r="E11" s="38">
        <f>IF(Rechnen!$W$3=0,"",Rechnen!N12)</f>
        <v>3</v>
      </c>
      <c r="F11" s="39" t="s">
        <v>14</v>
      </c>
      <c r="G11" s="38">
        <f>IF(Rechnen!$W$3=0,"",Rechnen!P12)</f>
        <v>3</v>
      </c>
      <c r="H11" s="40">
        <f>IF(AND(E11="",G11=""),"",(E11-G11))</f>
        <v>0</v>
      </c>
      <c r="I11" s="42"/>
    </row>
    <row r="12" spans="1:8" ht="18" customHeight="1">
      <c r="A12" s="37">
        <f>IF(Rechnen!$W$3=0,"",4)</f>
        <v>4</v>
      </c>
      <c r="B12" s="38" t="str">
        <f>Rechnen!K13</f>
        <v>Tisch 2 B4</v>
      </c>
      <c r="C12" s="38">
        <f>IF(Rechnen!$W$3=0,"",Rechnen!L13)</f>
        <v>3</v>
      </c>
      <c r="D12" s="38">
        <f>IF(Rechnen!$W$3=0,"",Rechnen!M13)</f>
        <v>3</v>
      </c>
      <c r="E12" s="38">
        <f>IF(Rechnen!$W$3=0,"",Rechnen!N13)</f>
        <v>3</v>
      </c>
      <c r="F12" s="39" t="s">
        <v>14</v>
      </c>
      <c r="G12" s="38">
        <f>IF(Rechnen!$W$3=0,"",Rechnen!P13)</f>
        <v>3</v>
      </c>
      <c r="H12" s="40">
        <f>IF(AND(E12="",G12=""),"",(E12-G12))</f>
        <v>0</v>
      </c>
    </row>
    <row r="13" spans="1:8" ht="18" customHeight="1">
      <c r="A13" s="254"/>
      <c r="B13" s="256" t="s">
        <v>3</v>
      </c>
      <c r="C13" s="261" t="s">
        <v>28</v>
      </c>
      <c r="D13" s="256" t="s">
        <v>1</v>
      </c>
      <c r="E13" s="256" t="s">
        <v>2</v>
      </c>
      <c r="F13" s="256"/>
      <c r="G13" s="256"/>
      <c r="H13" s="256" t="s">
        <v>29</v>
      </c>
    </row>
    <row r="14" spans="1:8" ht="15" customHeight="1">
      <c r="A14" s="255"/>
      <c r="B14" s="257"/>
      <c r="C14" s="262"/>
      <c r="D14" s="257"/>
      <c r="E14" s="257"/>
      <c r="F14" s="257"/>
      <c r="G14" s="257"/>
      <c r="H14" s="257"/>
    </row>
    <row r="15" spans="1:8" ht="15">
      <c r="A15" s="37">
        <f>IF(Rechnen!$X$3=0,"",1)</f>
        <v>1</v>
      </c>
      <c r="B15" s="38" t="str">
        <f>Rechnen!K17</f>
        <v>Tisch 2 C1</v>
      </c>
      <c r="C15" s="38">
        <f>IF(Rechnen!$X$3=0,"",Rechnen!L17)</f>
        <v>3</v>
      </c>
      <c r="D15" s="38">
        <f>IF(Rechnen!$X$3=0,"",Rechnen!M17)</f>
        <v>3</v>
      </c>
      <c r="E15" s="38">
        <f>IF(Rechnen!$X$3=0,"",Rechnen!N17)</f>
        <v>3</v>
      </c>
      <c r="F15" s="39" t="s">
        <v>14</v>
      </c>
      <c r="G15" s="38">
        <f>IF(Rechnen!$X$3=0,"",Rechnen!P17)</f>
        <v>3</v>
      </c>
      <c r="H15" s="40">
        <f>IF(AND(E15="",G15=""),"",(E15-G15))</f>
        <v>0</v>
      </c>
    </row>
    <row r="16" spans="1:8" ht="15">
      <c r="A16" s="37">
        <f>IF(Rechnen!$X$3=0,"",2)</f>
        <v>2</v>
      </c>
      <c r="B16" s="38" t="str">
        <f>Rechnen!K18</f>
        <v>Tisch 2 C2</v>
      </c>
      <c r="C16" s="38">
        <f>IF(Rechnen!$X$3=0,"",Rechnen!L18)</f>
        <v>3</v>
      </c>
      <c r="D16" s="38">
        <f>IF(Rechnen!$X$3=0,"",Rechnen!M18)</f>
        <v>3</v>
      </c>
      <c r="E16" s="38">
        <f>IF(Rechnen!$X$3=0,"",Rechnen!N18)</f>
        <v>3</v>
      </c>
      <c r="F16" s="39" t="s">
        <v>14</v>
      </c>
      <c r="G16" s="38">
        <f>IF(Rechnen!$X$3=0,"",Rechnen!P18)</f>
        <v>3</v>
      </c>
      <c r="H16" s="40">
        <f>IF(AND(E16="",G16=""),"",(E16-G16))</f>
        <v>0</v>
      </c>
    </row>
    <row r="17" spans="1:8" ht="15">
      <c r="A17" s="37">
        <f>IF(Rechnen!$X$3=0,"",3)</f>
        <v>3</v>
      </c>
      <c r="B17" s="38" t="str">
        <f>Rechnen!K19</f>
        <v>Tisch 2 C3</v>
      </c>
      <c r="C17" s="38">
        <f>IF(Rechnen!$X$3=0,"",Rechnen!L19)</f>
        <v>3</v>
      </c>
      <c r="D17" s="38">
        <f>IF(Rechnen!$X$3=0,"",Rechnen!M19)</f>
        <v>3</v>
      </c>
      <c r="E17" s="38">
        <f>IF(Rechnen!$X$3=0,"",Rechnen!N19)</f>
        <v>3</v>
      </c>
      <c r="F17" s="39" t="s">
        <v>14</v>
      </c>
      <c r="G17" s="38">
        <f>IF(Rechnen!$X$3=0,"",Rechnen!P19)</f>
        <v>3</v>
      </c>
      <c r="H17" s="40">
        <f>IF(AND(E17="",G17=""),"",(E17-G17))</f>
        <v>0</v>
      </c>
    </row>
    <row r="18" spans="1:8" ht="15">
      <c r="A18" s="37">
        <f>IF(Rechnen!$X$3=0,"",4)</f>
        <v>4</v>
      </c>
      <c r="B18" s="38" t="str">
        <f>Rechnen!K20</f>
        <v>Tisch 2 C4</v>
      </c>
      <c r="C18" s="38">
        <f>IF(Rechnen!$X$3=0,"",Rechnen!L20)</f>
        <v>3</v>
      </c>
      <c r="D18" s="38">
        <f>IF(Rechnen!$X$3=0,"",Rechnen!M20)</f>
        <v>3</v>
      </c>
      <c r="E18" s="38">
        <f>IF(Rechnen!$X$3=0,"",Rechnen!N20)</f>
        <v>3</v>
      </c>
      <c r="F18" s="39" t="s">
        <v>14</v>
      </c>
      <c r="G18" s="38">
        <f>IF(Rechnen!$X$3=0,"",Rechnen!P20)</f>
        <v>3</v>
      </c>
      <c r="H18" s="40">
        <f>IF(AND(E18="",G18=""),"",(E18-G18))</f>
        <v>0</v>
      </c>
    </row>
    <row r="19" spans="1:8" ht="15">
      <c r="A19" s="254"/>
      <c r="B19" s="256" t="s">
        <v>7</v>
      </c>
      <c r="C19" s="261" t="s">
        <v>28</v>
      </c>
      <c r="D19" s="256" t="s">
        <v>1</v>
      </c>
      <c r="E19" s="256" t="s">
        <v>2</v>
      </c>
      <c r="F19" s="256"/>
      <c r="G19" s="256"/>
      <c r="H19" s="256" t="s">
        <v>29</v>
      </c>
    </row>
    <row r="20" spans="1:8" ht="15">
      <c r="A20" s="255"/>
      <c r="B20" s="257"/>
      <c r="C20" s="262"/>
      <c r="D20" s="257"/>
      <c r="E20" s="257"/>
      <c r="F20" s="257"/>
      <c r="G20" s="257"/>
      <c r="H20" s="257"/>
    </row>
    <row r="21" spans="1:8" ht="15">
      <c r="A21" s="37">
        <f>IF(Rechnen!$Y$3=0,"",1)</f>
        <v>1</v>
      </c>
      <c r="B21" s="38" t="str">
        <f>Rechnen!K24</f>
        <v>Tisch 4 D1</v>
      </c>
      <c r="C21" s="38">
        <f>IF(Rechnen!$Y$3=0,"",Rechnen!L24)</f>
        <v>3</v>
      </c>
      <c r="D21" s="38">
        <f>IF(Rechnen!$Y$3=0,"",Rechnen!M24)</f>
        <v>3</v>
      </c>
      <c r="E21" s="38">
        <f>IF(Rechnen!$Y$3=0,"",Rechnen!N24)</f>
        <v>3</v>
      </c>
      <c r="F21" s="39" t="s">
        <v>14</v>
      </c>
      <c r="G21" s="38">
        <f>IF(Rechnen!$Y$3=0,"",Rechnen!P24)</f>
        <v>3</v>
      </c>
      <c r="H21" s="40">
        <f>IF(AND(E21="",G21=""),"",(E21-G21))</f>
        <v>0</v>
      </c>
    </row>
    <row r="22" spans="1:8" ht="15">
      <c r="A22" s="37">
        <f>IF(Rechnen!$Y$3=0,"",2)</f>
        <v>2</v>
      </c>
      <c r="B22" s="38" t="str">
        <f>Rechnen!K25</f>
        <v>Tisch 4 D2</v>
      </c>
      <c r="C22" s="38">
        <f>IF(Rechnen!$Y$3=0,"",Rechnen!L25)</f>
        <v>3</v>
      </c>
      <c r="D22" s="38">
        <f>IF(Rechnen!$Y$3=0,"",Rechnen!M25)</f>
        <v>3</v>
      </c>
      <c r="E22" s="38">
        <f>IF(Rechnen!$Y$3=0,"",Rechnen!N25)</f>
        <v>3</v>
      </c>
      <c r="F22" s="39" t="s">
        <v>14</v>
      </c>
      <c r="G22" s="38">
        <f>IF(Rechnen!$Y$3=0,"",Rechnen!P25)</f>
        <v>3</v>
      </c>
      <c r="H22" s="40">
        <f>IF(AND(E22="",G22=""),"",(E22-G22))</f>
        <v>0</v>
      </c>
    </row>
    <row r="23" spans="1:8" ht="15">
      <c r="A23" s="37">
        <f>IF(Rechnen!$Y$3=0,"",3)</f>
        <v>3</v>
      </c>
      <c r="B23" s="38" t="str">
        <f>Rechnen!K26</f>
        <v>Tisch 4 D3</v>
      </c>
      <c r="C23" s="38">
        <f>IF(Rechnen!$Y$3=0,"",Rechnen!L26)</f>
        <v>3</v>
      </c>
      <c r="D23" s="38">
        <f>IF(Rechnen!$Y$3=0,"",Rechnen!M26)</f>
        <v>3</v>
      </c>
      <c r="E23" s="38">
        <f>IF(Rechnen!$Y$3=0,"",Rechnen!N26)</f>
        <v>3</v>
      </c>
      <c r="F23" s="39" t="s">
        <v>14</v>
      </c>
      <c r="G23" s="38">
        <f>IF(Rechnen!$Y$3=0,"",Rechnen!P26)</f>
        <v>3</v>
      </c>
      <c r="H23" s="40">
        <f>IF(AND(E23="",G23=""),"",(E23-G23))</f>
        <v>0</v>
      </c>
    </row>
    <row r="24" spans="1:8" ht="15">
      <c r="A24" s="37">
        <f>IF(Rechnen!$Y$3=0,"",4)</f>
        <v>4</v>
      </c>
      <c r="B24" s="38" t="str">
        <f>Rechnen!K27</f>
        <v>Tisch 4 D4</v>
      </c>
      <c r="C24" s="38">
        <f>IF(Rechnen!$Y$3=0,"",Rechnen!L27)</f>
        <v>3</v>
      </c>
      <c r="D24" s="38">
        <f>IF(Rechnen!$Y$3=0,"",Rechnen!M27)</f>
        <v>3</v>
      </c>
      <c r="E24" s="38">
        <f>IF(Rechnen!$Y$3=0,"",Rechnen!N27)</f>
        <v>3</v>
      </c>
      <c r="F24" s="39" t="s">
        <v>14</v>
      </c>
      <c r="G24" s="38">
        <f>IF(Rechnen!$Y$3=0,"",Rechnen!P27)</f>
        <v>3</v>
      </c>
      <c r="H24" s="40">
        <f>IF(AND(E24="",G24=""),"",(E24-G24))</f>
        <v>0</v>
      </c>
    </row>
  </sheetData>
  <sheetProtection password="E760" sheet="1" objects="1" scenarios="1"/>
  <mergeCells count="20">
    <mergeCell ref="E19:G20"/>
    <mergeCell ref="H19:H20"/>
    <mergeCell ref="A13:A14"/>
    <mergeCell ref="B13:B14"/>
    <mergeCell ref="A19:A20"/>
    <mergeCell ref="B19:B20"/>
    <mergeCell ref="C19:C20"/>
    <mergeCell ref="D19:D20"/>
    <mergeCell ref="C13:C14"/>
    <mergeCell ref="D13:D14"/>
    <mergeCell ref="A7:A8"/>
    <mergeCell ref="H7:H8"/>
    <mergeCell ref="E7:G8"/>
    <mergeCell ref="E13:G14"/>
    <mergeCell ref="H13:H14"/>
    <mergeCell ref="B1:H1"/>
    <mergeCell ref="E2:G2"/>
    <mergeCell ref="C7:C8"/>
    <mergeCell ref="B7:B8"/>
    <mergeCell ref="D7:D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7.xml><?xml version="1.0" encoding="utf-8"?>
<worksheet xmlns="http://schemas.openxmlformats.org/spreadsheetml/2006/main" xmlns:r="http://schemas.openxmlformats.org/officeDocument/2006/relationships">
  <sheetPr codeName="Tabelle5"/>
  <dimension ref="A1:O24"/>
  <sheetViews>
    <sheetView showRowColHeaders="0" zoomScale="75" zoomScaleNormal="75" zoomScalePageLayoutView="0" workbookViewId="0" topLeftCell="A1">
      <selection activeCell="B1" sqref="B1:H1"/>
    </sheetView>
  </sheetViews>
  <sheetFormatPr defaultColWidth="11.421875" defaultRowHeight="12.75"/>
  <cols>
    <col min="1" max="1" width="6.8515625" style="42" customWidth="1"/>
    <col min="2" max="2" width="25.7109375" style="35" customWidth="1"/>
    <col min="3" max="4" width="8.7109375" style="35" customWidth="1"/>
    <col min="5" max="5" width="6.7109375" style="35" customWidth="1"/>
    <col min="6" max="6" width="2.140625" style="35" customWidth="1"/>
    <col min="7" max="7" width="6.7109375" style="35" customWidth="1"/>
    <col min="8" max="8" width="5.7109375" style="35" customWidth="1"/>
    <col min="9" max="9" width="2.421875" style="36" customWidth="1"/>
    <col min="10" max="10" width="38.28125" style="35" customWidth="1"/>
    <col min="11" max="11" width="6.140625" style="35" customWidth="1"/>
    <col min="12" max="12" width="5.421875" style="36" customWidth="1"/>
    <col min="13" max="13" width="2.421875" style="35" customWidth="1"/>
    <col min="14" max="14" width="5.421875" style="35" customWidth="1"/>
    <col min="15" max="15" width="5.7109375" style="35" customWidth="1"/>
  </cols>
  <sheetData>
    <row r="1" spans="1:15" ht="27" customHeight="1">
      <c r="A1" s="29"/>
      <c r="B1" s="259" t="s">
        <v>45</v>
      </c>
      <c r="C1" s="259"/>
      <c r="D1" s="259"/>
      <c r="E1" s="259"/>
      <c r="F1" s="259"/>
      <c r="G1" s="259"/>
      <c r="H1" s="259"/>
      <c r="I1" s="30"/>
      <c r="J1" s="30"/>
      <c r="K1" s="30"/>
      <c r="L1" s="30"/>
      <c r="M1" s="30"/>
      <c r="N1" s="30"/>
      <c r="O1" s="30"/>
    </row>
    <row r="2" spans="1:9" ht="30" customHeight="1">
      <c r="A2" s="31" t="s">
        <v>36</v>
      </c>
      <c r="B2" s="32" t="s">
        <v>135</v>
      </c>
      <c r="C2" s="33" t="s">
        <v>28</v>
      </c>
      <c r="D2" s="32" t="s">
        <v>1</v>
      </c>
      <c r="E2" s="260" t="s">
        <v>2</v>
      </c>
      <c r="F2" s="260"/>
      <c r="G2" s="260"/>
      <c r="H2" s="32" t="s">
        <v>29</v>
      </c>
      <c r="I2" s="34"/>
    </row>
    <row r="3" spans="1:9" ht="18" customHeight="1">
      <c r="A3" s="37">
        <f>IF(Rechnen2!$V$3=0,"",1)</f>
        <v>1</v>
      </c>
      <c r="B3" s="38" t="str">
        <f>Rechnen2!K3</f>
        <v>Tisch 1 A1</v>
      </c>
      <c r="C3" s="38">
        <f>IF(Rechnen2!$V$3=0,"",Rechnen2!L3)</f>
        <v>3</v>
      </c>
      <c r="D3" s="38">
        <f>IF(Rechnen2!$V$3=0,"",Rechnen2!M3)</f>
        <v>9</v>
      </c>
      <c r="E3" s="38">
        <f>IF(Rechnen2!$V$3=0,"",Rechnen2!N3)</f>
        <v>6</v>
      </c>
      <c r="F3" s="39" t="s">
        <v>14</v>
      </c>
      <c r="G3" s="38">
        <f>IF(Rechnen2!$V$3=0,"",Rechnen2!P3)</f>
        <v>0</v>
      </c>
      <c r="H3" s="40">
        <f>IF(AND(E3="",G3=""),"",(E3-G3))</f>
        <v>6</v>
      </c>
      <c r="I3" s="41"/>
    </row>
    <row r="4" spans="1:9" ht="18" customHeight="1">
      <c r="A4" s="37">
        <f>IF(Rechnen2!$V$3=0,"",2)</f>
        <v>2</v>
      </c>
      <c r="B4" s="38" t="str">
        <f>Rechnen2!K4</f>
        <v>Tisch 2 B1</v>
      </c>
      <c r="C4" s="38">
        <f>IF(Rechnen2!$V$3=0,"",Rechnen2!L4)</f>
        <v>3</v>
      </c>
      <c r="D4" s="38">
        <f>IF(Rechnen2!$V$3=0,"",Rechnen2!M4)</f>
        <v>2</v>
      </c>
      <c r="E4" s="38">
        <f>IF(Rechnen2!$V$3=0,"",Rechnen2!N4)</f>
        <v>2</v>
      </c>
      <c r="F4" s="39" t="s">
        <v>14</v>
      </c>
      <c r="G4" s="38">
        <f>IF(Rechnen2!$V$3=0,"",Rechnen2!P4)</f>
        <v>3</v>
      </c>
      <c r="H4" s="40">
        <f>IF(AND(E4="",G4=""),"",(E4-G4))</f>
        <v>-1</v>
      </c>
      <c r="I4" s="41"/>
    </row>
    <row r="5" spans="1:9" ht="18" customHeight="1">
      <c r="A5" s="37">
        <f>IF(Rechnen2!$V$3=0,"",3)</f>
        <v>3</v>
      </c>
      <c r="B5" s="38" t="str">
        <f>Rechnen2!K5</f>
        <v>Tisch 2 C2</v>
      </c>
      <c r="C5" s="38">
        <f>IF(Rechnen2!$V$3=0,"",Rechnen2!L5)</f>
        <v>3</v>
      </c>
      <c r="D5" s="38">
        <f>IF(Rechnen2!$V$3=0,"",Rechnen2!M5)</f>
        <v>2</v>
      </c>
      <c r="E5" s="38">
        <f>IF(Rechnen2!$V$3=0,"",Rechnen2!N5)</f>
        <v>2</v>
      </c>
      <c r="F5" s="39" t="s">
        <v>14</v>
      </c>
      <c r="G5" s="38">
        <f>IF(Rechnen2!$V$3=0,"",Rechnen2!P5)</f>
        <v>4</v>
      </c>
      <c r="H5" s="40">
        <f>IF(AND(E5="",G5=""),"",(E5-G5))</f>
        <v>-2</v>
      </c>
      <c r="I5" s="41"/>
    </row>
    <row r="6" spans="1:9" ht="18" customHeight="1">
      <c r="A6" s="37">
        <f>IF(Rechnen2!$V$3=0,"",4)</f>
        <v>4</v>
      </c>
      <c r="B6" s="38" t="str">
        <f>Rechnen2!K6</f>
        <v>Tisch 4 D2</v>
      </c>
      <c r="C6" s="38">
        <f>IF(Rechnen2!$V$3=0,"",Rechnen2!L6)</f>
        <v>3</v>
      </c>
      <c r="D6" s="38">
        <f>IF(Rechnen2!$V$3=0,"",Rechnen2!M6)</f>
        <v>2</v>
      </c>
      <c r="E6" s="38">
        <f>IF(Rechnen2!$V$3=0,"",Rechnen2!N6)</f>
        <v>2</v>
      </c>
      <c r="F6" s="39" t="s">
        <v>14</v>
      </c>
      <c r="G6" s="38">
        <f>IF(Rechnen2!$V$3=0,"",Rechnen2!P6)</f>
        <v>5</v>
      </c>
      <c r="H6" s="40">
        <f>IF(AND(E6="",G6=""),"",(E6-G6))</f>
        <v>-3</v>
      </c>
      <c r="I6" s="41"/>
    </row>
    <row r="7" spans="1:15" ht="15" customHeight="1" hidden="1">
      <c r="A7" s="254"/>
      <c r="B7" s="256" t="s">
        <v>43</v>
      </c>
      <c r="C7" s="261" t="s">
        <v>28</v>
      </c>
      <c r="D7" s="256" t="s">
        <v>1</v>
      </c>
      <c r="E7" s="256" t="s">
        <v>2</v>
      </c>
      <c r="F7" s="256"/>
      <c r="G7" s="256"/>
      <c r="H7" s="256" t="s">
        <v>29</v>
      </c>
      <c r="I7" s="42"/>
      <c r="J7" s="43"/>
      <c r="K7" s="43"/>
      <c r="L7" s="44"/>
      <c r="M7" s="45"/>
      <c r="N7" s="46"/>
      <c r="O7" s="46"/>
    </row>
    <row r="8" spans="1:15" ht="15" customHeight="1" hidden="1">
      <c r="A8" s="255"/>
      <c r="B8" s="257"/>
      <c r="C8" s="262"/>
      <c r="D8" s="257"/>
      <c r="E8" s="257"/>
      <c r="F8" s="257"/>
      <c r="G8" s="257"/>
      <c r="H8" s="257"/>
      <c r="I8" s="42"/>
      <c r="J8" s="43"/>
      <c r="K8" s="43"/>
      <c r="L8" s="44"/>
      <c r="M8" s="45"/>
      <c r="N8" s="46"/>
      <c r="O8" s="46"/>
    </row>
    <row r="9" spans="1:15" ht="18" customHeight="1" hidden="1">
      <c r="A9" s="37">
        <f>IF(Rechnen2!$W$3=0,"",1)</f>
      </c>
      <c r="B9" s="38">
        <f>Rechnen2!K10</f>
        <v>0</v>
      </c>
      <c r="C9" s="38">
        <f>IF(Rechnen2!$W$3=0,"",Rechnen2!L10)</f>
      </c>
      <c r="D9" s="38">
        <f>IF(Rechnen2!$W$3=0,"",Rechnen2!M10)</f>
      </c>
      <c r="E9" s="38">
        <f>IF(Rechnen2!$W$3=0,"",Rechnen2!N10)</f>
      </c>
      <c r="F9" s="39" t="s">
        <v>14</v>
      </c>
      <c r="G9" s="38">
        <f>IF(Rechnen2!$W$3=0,"",Rechnen2!P10)</f>
      </c>
      <c r="H9" s="40">
        <f>IF(AND(E9="",G9=""),"",(E9-G9))</f>
      </c>
      <c r="I9" s="47"/>
      <c r="J9" s="45"/>
      <c r="K9" s="47"/>
      <c r="L9" s="44"/>
      <c r="M9" s="45"/>
      <c r="N9" s="46"/>
      <c r="O9" s="46"/>
    </row>
    <row r="10" spans="1:15" ht="18" customHeight="1" hidden="1">
      <c r="A10" s="37">
        <f>IF(Rechnen2!$W$3=0,"",2)</f>
      </c>
      <c r="B10" s="38">
        <f>Rechnen2!K11</f>
        <v>0</v>
      </c>
      <c r="C10" s="38">
        <f>IF(Rechnen2!$W$3=0,"",Rechnen2!L11)</f>
      </c>
      <c r="D10" s="38">
        <f>IF(Rechnen2!$W$3=0,"",Rechnen2!M11)</f>
      </c>
      <c r="E10" s="38">
        <f>IF(Rechnen2!$W$3=0,"",Rechnen2!N11)</f>
      </c>
      <c r="F10" s="39" t="s">
        <v>14</v>
      </c>
      <c r="G10" s="38">
        <f>IF(Rechnen2!$W$3=0,"",Rechnen2!P11)</f>
      </c>
      <c r="H10" s="40">
        <f>IF(AND(E10="",G10=""),"",(E10-G10))</f>
      </c>
      <c r="I10" s="48"/>
      <c r="J10" s="49"/>
      <c r="K10" s="49"/>
      <c r="L10" s="49"/>
      <c r="M10" s="49"/>
      <c r="N10" s="49"/>
      <c r="O10" s="49"/>
    </row>
    <row r="11" spans="1:9" ht="18" customHeight="1" hidden="1">
      <c r="A11" s="37">
        <f>IF(Rechnen2!$W$3=0,"",3)</f>
      </c>
      <c r="B11" s="38">
        <f>Rechnen2!K12</f>
        <v>0</v>
      </c>
      <c r="C11" s="38">
        <f>IF(Rechnen2!$W$3=0,"",Rechnen2!L12)</f>
      </c>
      <c r="D11" s="38">
        <f>IF(Rechnen2!$W$3=0,"",Rechnen2!M12)</f>
      </c>
      <c r="E11" s="38">
        <f>IF(Rechnen2!$W$3=0,"",Rechnen2!N12)</f>
      </c>
      <c r="F11" s="39" t="s">
        <v>14</v>
      </c>
      <c r="G11" s="38">
        <f>IF(Rechnen2!$W$3=0,"",Rechnen2!P12)</f>
      </c>
      <c r="H11" s="40">
        <f>IF(AND(E11="",G11=""),"",(E11-G11))</f>
      </c>
      <c r="I11" s="42"/>
    </row>
    <row r="12" spans="1:8" ht="18" customHeight="1" hidden="1">
      <c r="A12" s="37">
        <f>IF(Rechnen2!$W$3=0,"",4)</f>
      </c>
      <c r="B12" s="38">
        <f>Rechnen2!K13</f>
        <v>0</v>
      </c>
      <c r="C12" s="38">
        <f>IF(Rechnen2!$W$3=0,"",Rechnen2!L13)</f>
      </c>
      <c r="D12" s="38">
        <f>IF(Rechnen2!$W$3=0,"",Rechnen2!M13)</f>
      </c>
      <c r="E12" s="38">
        <f>IF(Rechnen2!$W$3=0,"",Rechnen2!N13)</f>
      </c>
      <c r="F12" s="39" t="s">
        <v>14</v>
      </c>
      <c r="G12" s="38">
        <f>IF(Rechnen2!$W$3=0,"",Rechnen2!P13)</f>
      </c>
      <c r="H12" s="40">
        <f>IF(AND(E12="",G12=""),"",(E12-G12))</f>
      </c>
    </row>
    <row r="13" spans="1:8" ht="18" customHeight="1">
      <c r="A13" s="254"/>
      <c r="B13" s="256" t="s">
        <v>136</v>
      </c>
      <c r="C13" s="261" t="s">
        <v>28</v>
      </c>
      <c r="D13" s="256" t="s">
        <v>1</v>
      </c>
      <c r="E13" s="256" t="s">
        <v>2</v>
      </c>
      <c r="F13" s="256"/>
      <c r="G13" s="256"/>
      <c r="H13" s="256" t="s">
        <v>29</v>
      </c>
    </row>
    <row r="14" spans="1:8" ht="15" customHeight="1">
      <c r="A14" s="255"/>
      <c r="B14" s="257"/>
      <c r="C14" s="262"/>
      <c r="D14" s="257"/>
      <c r="E14" s="257"/>
      <c r="F14" s="257"/>
      <c r="G14" s="257"/>
      <c r="H14" s="257"/>
    </row>
    <row r="15" spans="1:8" ht="15">
      <c r="A15" s="37">
        <f>IF(Rechnen2!$X$3=0,"",1)</f>
        <v>1</v>
      </c>
      <c r="B15" s="38" t="str">
        <f>Rechnen2!K17</f>
        <v>Tisch 1 A2</v>
      </c>
      <c r="C15" s="38">
        <f>IF(Rechnen2!$X$3=0,"",Rechnen2!L17)</f>
        <v>3</v>
      </c>
      <c r="D15" s="38">
        <f>IF(Rechnen2!$X$3=0,"",Rechnen2!M17)</f>
        <v>9</v>
      </c>
      <c r="E15" s="38">
        <f>IF(Rechnen2!$X$3=0,"",Rechnen2!N17)</f>
        <v>6</v>
      </c>
      <c r="F15" s="39" t="s">
        <v>14</v>
      </c>
      <c r="G15" s="38">
        <f>IF(Rechnen2!$X$3=0,"",Rechnen2!P17)</f>
        <v>0</v>
      </c>
      <c r="H15" s="40">
        <f>IF(AND(E15="",G15=""),"",(E15-G15))</f>
        <v>6</v>
      </c>
    </row>
    <row r="16" spans="1:8" ht="15">
      <c r="A16" s="37">
        <f>IF(Rechnen2!$X$3=0,"",2)</f>
        <v>2</v>
      </c>
      <c r="B16" s="38" t="str">
        <f>Rechnen2!K18</f>
        <v>Tisch 2 B2</v>
      </c>
      <c r="C16" s="38">
        <f>IF(Rechnen2!$X$3=0,"",Rechnen2!L18)</f>
        <v>3</v>
      </c>
      <c r="D16" s="38">
        <f>IF(Rechnen2!$X$3=0,"",Rechnen2!M18)</f>
        <v>2</v>
      </c>
      <c r="E16" s="38">
        <f>IF(Rechnen2!$X$3=0,"",Rechnen2!N18)</f>
        <v>2</v>
      </c>
      <c r="F16" s="39" t="s">
        <v>14</v>
      </c>
      <c r="G16" s="38">
        <f>IF(Rechnen2!$X$3=0,"",Rechnen2!P18)</f>
        <v>3</v>
      </c>
      <c r="H16" s="40">
        <f>IF(AND(E16="",G16=""),"",(E16-G16))</f>
        <v>-1</v>
      </c>
    </row>
    <row r="17" spans="1:8" ht="15">
      <c r="A17" s="37">
        <f>IF(Rechnen2!$X$3=0,"",3)</f>
        <v>3</v>
      </c>
      <c r="B17" s="38" t="str">
        <f>Rechnen2!K19</f>
        <v>Tisch 2 C1</v>
      </c>
      <c r="C17" s="38">
        <f>IF(Rechnen2!$X$3=0,"",Rechnen2!L19)</f>
        <v>3</v>
      </c>
      <c r="D17" s="38">
        <f>IF(Rechnen2!$X$3=0,"",Rechnen2!M19)</f>
        <v>2</v>
      </c>
      <c r="E17" s="38">
        <f>IF(Rechnen2!$X$3=0,"",Rechnen2!N19)</f>
        <v>2</v>
      </c>
      <c r="F17" s="39" t="s">
        <v>14</v>
      </c>
      <c r="G17" s="38">
        <f>IF(Rechnen2!$X$3=0,"",Rechnen2!P19)</f>
        <v>4</v>
      </c>
      <c r="H17" s="40">
        <f>IF(AND(E17="",G17=""),"",(E17-G17))</f>
        <v>-2</v>
      </c>
    </row>
    <row r="18" spans="1:8" ht="15">
      <c r="A18" s="37">
        <f>IF(Rechnen2!$X$3=0,"",4)</f>
        <v>4</v>
      </c>
      <c r="B18" s="38" t="str">
        <f>Rechnen2!K20</f>
        <v>Tisch 4 D1</v>
      </c>
      <c r="C18" s="38">
        <f>IF(Rechnen2!$X$3=0,"",Rechnen2!L20)</f>
        <v>3</v>
      </c>
      <c r="D18" s="38">
        <f>IF(Rechnen2!$X$3=0,"",Rechnen2!M20)</f>
        <v>2</v>
      </c>
      <c r="E18" s="38">
        <f>IF(Rechnen2!$X$3=0,"",Rechnen2!N20)</f>
        <v>2</v>
      </c>
      <c r="F18" s="39" t="s">
        <v>14</v>
      </c>
      <c r="G18" s="38">
        <f>IF(Rechnen2!$X$3=0,"",Rechnen2!P20)</f>
        <v>5</v>
      </c>
      <c r="H18" s="40">
        <f>IF(AND(E18="",G18=""),"",(E18-G18))</f>
        <v>-3</v>
      </c>
    </row>
    <row r="19" spans="1:8" ht="15" hidden="1">
      <c r="A19" s="254"/>
      <c r="B19" s="256" t="s">
        <v>44</v>
      </c>
      <c r="C19" s="261" t="s">
        <v>28</v>
      </c>
      <c r="D19" s="256" t="s">
        <v>1</v>
      </c>
      <c r="E19" s="256" t="s">
        <v>2</v>
      </c>
      <c r="F19" s="256"/>
      <c r="G19" s="256"/>
      <c r="H19" s="256" t="s">
        <v>29</v>
      </c>
    </row>
    <row r="20" spans="1:8" ht="15" hidden="1">
      <c r="A20" s="255"/>
      <c r="B20" s="257"/>
      <c r="C20" s="262"/>
      <c r="D20" s="257"/>
      <c r="E20" s="257"/>
      <c r="F20" s="257"/>
      <c r="G20" s="257"/>
      <c r="H20" s="257"/>
    </row>
    <row r="21" spans="1:8" ht="15" hidden="1">
      <c r="A21" s="37">
        <f>IF(Rechnen2!$Y$3=0,"",1)</f>
      </c>
      <c r="B21" s="38">
        <f>Rechnen2!K24</f>
        <v>0</v>
      </c>
      <c r="C21" s="38">
        <f>IF(Rechnen2!$Y$3=0,"",Rechnen2!L24)</f>
      </c>
      <c r="D21" s="38">
        <f>IF(Rechnen2!$Y$3=0,"",Rechnen2!M24)</f>
      </c>
      <c r="E21" s="38">
        <f>IF(Rechnen2!$Y$3=0,"",Rechnen2!N24)</f>
      </c>
      <c r="F21" s="39" t="s">
        <v>14</v>
      </c>
      <c r="G21" s="38">
        <f>IF(Rechnen2!$Y$3=0,"",Rechnen2!P24)</f>
      </c>
      <c r="H21" s="40">
        <f>IF(AND(E21="",G21=""),"",(E21-G21))</f>
      </c>
    </row>
    <row r="22" spans="1:8" ht="15" hidden="1">
      <c r="A22" s="37">
        <f>IF(Rechnen2!$Y$3=0,"",2)</f>
      </c>
      <c r="B22" s="38">
        <f>Rechnen2!K25</f>
        <v>0</v>
      </c>
      <c r="C22" s="38">
        <f>IF(Rechnen2!$Y$3=0,"",Rechnen2!L25)</f>
      </c>
      <c r="D22" s="38">
        <f>IF(Rechnen2!$Y$3=0,"",Rechnen2!M25)</f>
      </c>
      <c r="E22" s="38">
        <f>IF(Rechnen2!$Y$3=0,"",Rechnen2!N25)</f>
      </c>
      <c r="F22" s="39" t="s">
        <v>14</v>
      </c>
      <c r="G22" s="38">
        <f>IF(Rechnen2!$Y$3=0,"",Rechnen2!P25)</f>
      </c>
      <c r="H22" s="40">
        <f>IF(AND(E22="",G22=""),"",(E22-G22))</f>
      </c>
    </row>
    <row r="23" spans="1:8" ht="15" hidden="1">
      <c r="A23" s="37">
        <f>IF(Rechnen2!$Y$3=0,"",3)</f>
      </c>
      <c r="B23" s="38">
        <f>Rechnen2!K26</f>
        <v>0</v>
      </c>
      <c r="C23" s="38">
        <f>IF(Rechnen2!$Y$3=0,"",Rechnen2!L26)</f>
      </c>
      <c r="D23" s="38">
        <f>IF(Rechnen2!$Y$3=0,"",Rechnen2!M26)</f>
      </c>
      <c r="E23" s="38">
        <f>IF(Rechnen2!$Y$3=0,"",Rechnen2!N26)</f>
      </c>
      <c r="F23" s="39" t="s">
        <v>14</v>
      </c>
      <c r="G23" s="38">
        <f>IF(Rechnen2!$Y$3=0,"",Rechnen2!P26)</f>
      </c>
      <c r="H23" s="40">
        <f>IF(AND(E23="",G23=""),"",(E23-G23))</f>
      </c>
    </row>
    <row r="24" spans="1:8" ht="15" hidden="1">
      <c r="A24" s="37">
        <f>IF(Rechnen2!$Y$3=0,"",4)</f>
      </c>
      <c r="B24" s="38">
        <f>Rechnen2!K27</f>
        <v>0</v>
      </c>
      <c r="C24" s="38">
        <f>IF(Rechnen2!$Y$3=0,"",Rechnen2!L27)</f>
      </c>
      <c r="D24" s="38">
        <f>IF(Rechnen2!$Y$3=0,"",Rechnen2!M27)</f>
      </c>
      <c r="E24" s="38">
        <f>IF(Rechnen2!$Y$3=0,"",Rechnen2!N27)</f>
      </c>
      <c r="F24" s="39" t="s">
        <v>14</v>
      </c>
      <c r="G24" s="38">
        <f>IF(Rechnen2!$Y$3=0,"",Rechnen2!P27)</f>
      </c>
      <c r="H24" s="40">
        <f>IF(AND(E24="",G24=""),"",(E24-G24))</f>
      </c>
    </row>
  </sheetData>
  <sheetProtection password="E760" sheet="1" objects="1" scenarios="1"/>
  <mergeCells count="20">
    <mergeCell ref="A7:A8"/>
    <mergeCell ref="H7:H8"/>
    <mergeCell ref="E7:G8"/>
    <mergeCell ref="C13:C14"/>
    <mergeCell ref="D13:D14"/>
    <mergeCell ref="B1:H1"/>
    <mergeCell ref="E2:G2"/>
    <mergeCell ref="C7:C8"/>
    <mergeCell ref="B7:B8"/>
    <mergeCell ref="D7:D8"/>
    <mergeCell ref="E13:G14"/>
    <mergeCell ref="H13:H14"/>
    <mergeCell ref="E19:G20"/>
    <mergeCell ref="H19:H20"/>
    <mergeCell ref="A13:A14"/>
    <mergeCell ref="B13:B14"/>
    <mergeCell ref="A19:A20"/>
    <mergeCell ref="B19:B20"/>
    <mergeCell ref="C19:C20"/>
    <mergeCell ref="D19:D20"/>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8.xml><?xml version="1.0" encoding="utf-8"?>
<worksheet xmlns="http://schemas.openxmlformats.org/spreadsheetml/2006/main" xmlns:r="http://schemas.openxmlformats.org/officeDocument/2006/relationships">
  <sheetPr codeName="Tabelle6"/>
  <dimension ref="A1:Y27"/>
  <sheetViews>
    <sheetView zoomScale="75" zoomScaleNormal="75" zoomScalePageLayoutView="0" workbookViewId="0" topLeftCell="A1">
      <selection activeCell="X3" sqref="X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24</v>
      </c>
      <c r="B2" s="15" t="s">
        <v>25</v>
      </c>
      <c r="C2" s="15"/>
      <c r="D2" s="15" t="s">
        <v>25</v>
      </c>
      <c r="E2" s="263" t="s">
        <v>12</v>
      </c>
      <c r="F2" s="263"/>
      <c r="G2" s="263"/>
      <c r="H2" s="72" t="s">
        <v>26</v>
      </c>
      <c r="I2" s="72" t="s">
        <v>27</v>
      </c>
      <c r="J2" s="16"/>
      <c r="K2" s="17" t="s">
        <v>42</v>
      </c>
      <c r="L2" s="17" t="s">
        <v>28</v>
      </c>
      <c r="M2" s="17" t="s">
        <v>1</v>
      </c>
      <c r="N2" s="264" t="s">
        <v>2</v>
      </c>
      <c r="O2" s="264"/>
      <c r="P2" s="264"/>
      <c r="Q2" s="17" t="s">
        <v>29</v>
      </c>
      <c r="R2" s="16"/>
      <c r="S2" s="11" t="s">
        <v>30</v>
      </c>
      <c r="T2" s="11" t="s">
        <v>31</v>
      </c>
      <c r="U2" s="11" t="s">
        <v>32</v>
      </c>
      <c r="V2" s="12" t="s">
        <v>56</v>
      </c>
      <c r="W2" s="12" t="s">
        <v>57</v>
      </c>
      <c r="X2" s="12" t="s">
        <v>58</v>
      </c>
      <c r="Y2" s="12" t="s">
        <v>59</v>
      </c>
    </row>
    <row r="3" spans="1:25" ht="12.75">
      <c r="A3" s="18">
        <f>Spielplan2!$B22</f>
        <v>25</v>
      </c>
      <c r="B3" s="18" t="str">
        <f>Spielplan2!$E22</f>
        <v>Tisch 1 A1</v>
      </c>
      <c r="C3" s="19" t="s">
        <v>13</v>
      </c>
      <c r="D3" s="20" t="str">
        <f>Spielplan2!$G22</f>
        <v>Tisch 2 B1</v>
      </c>
      <c r="E3" s="15">
        <f>IF(Spielplan2!$H22="","",Spielplan2!$H22)</f>
        <v>1</v>
      </c>
      <c r="F3" s="15" t="s">
        <v>14</v>
      </c>
      <c r="G3" s="15">
        <f>IF(Spielplan2!$J22="","",Spielplan2!$J22)</f>
        <v>0</v>
      </c>
      <c r="H3" s="73">
        <f aca="true" t="shared" si="0" ref="H3:H26">IF(OR($E3="",$G3=""),"",IF(E3&gt;G3,3,IF(E3=G3,1,0)))</f>
        <v>3</v>
      </c>
      <c r="I3" s="73">
        <f aca="true" t="shared" si="1" ref="I3:I26">IF(OR($E3="",$G3=""),"",IF(G3&gt;E3,3,IF(E3=G3,1,0)))</f>
        <v>0</v>
      </c>
      <c r="K3" s="71" t="str">
        <f>Spielplan2!A2</f>
        <v>Tisch 1 A1</v>
      </c>
      <c r="L3" s="19">
        <f>SUM(S3:U3)</f>
        <v>3</v>
      </c>
      <c r="M3" s="19">
        <f>SUM(H3,I11,H19)</f>
        <v>9</v>
      </c>
      <c r="N3" s="15">
        <f>SUM(E3,G11,E19)</f>
        <v>6</v>
      </c>
      <c r="O3" s="15" t="s">
        <v>14</v>
      </c>
      <c r="P3" s="15">
        <f>SUM(G3,E11,G19)</f>
        <v>0</v>
      </c>
      <c r="Q3" s="15">
        <f>N3-P3</f>
        <v>6</v>
      </c>
      <c r="R3" s="21"/>
      <c r="S3" s="11">
        <f>IF(OR(E3="",G3=""),0,1)</f>
        <v>1</v>
      </c>
      <c r="T3" s="11">
        <f>IF(OR(E11="",G11=""),0,1)</f>
        <v>1</v>
      </c>
      <c r="U3" s="11">
        <f>IF(OR(E19="",G19=""),0,1)</f>
        <v>1</v>
      </c>
      <c r="V3" s="11">
        <f>SUM(L3:L7)/2</f>
        <v>6</v>
      </c>
      <c r="W3" s="11">
        <f>SUM(L10:L14)/2</f>
        <v>0</v>
      </c>
      <c r="X3" s="11">
        <f>SUM(L17:L21)/2</f>
        <v>6</v>
      </c>
      <c r="Y3" s="11">
        <f>SUM(L24:L28)/2</f>
        <v>0</v>
      </c>
    </row>
    <row r="4" spans="1:21" ht="12.75">
      <c r="A4" s="18">
        <f>Spielplan2!$B44</f>
        <v>26</v>
      </c>
      <c r="B4" s="18">
        <f>Spielplan2!$E44</f>
        <v>0</v>
      </c>
      <c r="C4" s="19" t="s">
        <v>13</v>
      </c>
      <c r="D4" s="20">
        <f>Spielplan2!$G44</f>
        <v>0</v>
      </c>
      <c r="E4" s="15">
        <f>IF(Spielplan2!$H44="","",Spielplan2!$H44)</f>
      </c>
      <c r="F4" s="15" t="s">
        <v>14</v>
      </c>
      <c r="G4" s="15">
        <f>IF(Spielplan2!$J44="","",Spielplan2!$J44)</f>
      </c>
      <c r="H4" s="73">
        <f t="shared" si="0"/>
      </c>
      <c r="I4" s="73">
        <f t="shared" si="1"/>
      </c>
      <c r="K4" s="71" t="str">
        <f>Spielplan2!A4</f>
        <v>Tisch 2 B1</v>
      </c>
      <c r="L4" s="19">
        <f>SUM(S4:U4)</f>
        <v>3</v>
      </c>
      <c r="M4" s="19">
        <f>SUM(I3,H15,H23)</f>
        <v>2</v>
      </c>
      <c r="N4" s="15">
        <f>SUM(G3,E15,E23)</f>
        <v>2</v>
      </c>
      <c r="O4" s="15" t="s">
        <v>14</v>
      </c>
      <c r="P4" s="15">
        <f>SUM(E3,G15,G23)</f>
        <v>3</v>
      </c>
      <c r="Q4" s="15">
        <f>N4-P4</f>
        <v>-1</v>
      </c>
      <c r="R4" s="21"/>
      <c r="S4" s="11">
        <f>IF(OR(E3="",G3=""),0,1)</f>
        <v>1</v>
      </c>
      <c r="T4" s="11">
        <f>IF(OR(E15="",G15=""),0,1)</f>
        <v>1</v>
      </c>
      <c r="U4" s="11">
        <f>IF(OR(E23="",G23=""),0,1)</f>
        <v>1</v>
      </c>
    </row>
    <row r="5" spans="1:21" ht="12.75">
      <c r="A5" s="18">
        <f>Spielplan2!$B24</f>
        <v>27</v>
      </c>
      <c r="B5" s="18" t="str">
        <f>Spielplan2!$E24</f>
        <v>Tisch 1 A2</v>
      </c>
      <c r="C5" s="19" t="s">
        <v>13</v>
      </c>
      <c r="D5" s="20" t="str">
        <f>Spielplan2!$G24</f>
        <v>Tisch 2 B2</v>
      </c>
      <c r="E5" s="15">
        <f>IF(Spielplan2!$H24="","",Spielplan2!$H24)</f>
        <v>1</v>
      </c>
      <c r="F5" s="15" t="s">
        <v>14</v>
      </c>
      <c r="G5" s="15">
        <f>IF(Spielplan2!$J24="","",Spielplan2!$J24)</f>
        <v>0</v>
      </c>
      <c r="H5" s="73">
        <f t="shared" si="0"/>
        <v>3</v>
      </c>
      <c r="I5" s="73">
        <f t="shared" si="1"/>
        <v>0</v>
      </c>
      <c r="K5" s="71" t="str">
        <f>Spielplan2!A6</f>
        <v>Tisch 2 C2</v>
      </c>
      <c r="L5" s="19">
        <f>SUM(S5:U5)</f>
        <v>3</v>
      </c>
      <c r="M5" s="19">
        <f>SUM(H7,I15,I19)</f>
        <v>2</v>
      </c>
      <c r="N5" s="15">
        <f>SUM(E7,G15,G19)</f>
        <v>2</v>
      </c>
      <c r="O5" s="15" t="s">
        <v>14</v>
      </c>
      <c r="P5" s="15">
        <f>SUM(G7,E15,E19)</f>
        <v>4</v>
      </c>
      <c r="Q5" s="15">
        <f>N5-P5</f>
        <v>-2</v>
      </c>
      <c r="R5" s="21"/>
      <c r="S5" s="11">
        <f>IF(OR(E7="",G7=""),0,1)</f>
        <v>1</v>
      </c>
      <c r="T5" s="11">
        <f>IF(OR(E15="",G15=""),0,1)</f>
        <v>1</v>
      </c>
      <c r="U5" s="11">
        <f>IF(OR(E19="",G19=""),0,1)</f>
        <v>1</v>
      </c>
    </row>
    <row r="6" spans="1:21" ht="12.75">
      <c r="A6" s="18">
        <f>Spielplan2!$B34</f>
        <v>28</v>
      </c>
      <c r="B6" s="18">
        <f>Spielplan2!$E34</f>
        <v>0</v>
      </c>
      <c r="C6" s="19" t="s">
        <v>13</v>
      </c>
      <c r="D6" s="20">
        <f>Spielplan2!$G34</f>
        <v>0</v>
      </c>
      <c r="E6" s="15">
        <f>IF(Spielplan2!$H34="","",Spielplan2!$H34)</f>
      </c>
      <c r="F6" s="15" t="s">
        <v>14</v>
      </c>
      <c r="G6" s="15">
        <f>IF(Spielplan2!$J34="","",Spielplan2!$J34)</f>
      </c>
      <c r="H6" s="73">
        <f t="shared" si="0"/>
      </c>
      <c r="I6" s="73">
        <f t="shared" si="1"/>
      </c>
      <c r="K6" s="71" t="str">
        <f>Spielplan2!A8</f>
        <v>Tisch 4 D2</v>
      </c>
      <c r="L6" s="19">
        <f>SUM(S6:U6)</f>
        <v>3</v>
      </c>
      <c r="M6" s="19">
        <f>SUM(I7,H11,I23)</f>
        <v>2</v>
      </c>
      <c r="N6" s="15">
        <f>SUM(G7,E11,G23)</f>
        <v>2</v>
      </c>
      <c r="O6" s="15" t="s">
        <v>14</v>
      </c>
      <c r="P6" s="15">
        <f>SUM(E7,G11,E23)</f>
        <v>5</v>
      </c>
      <c r="Q6" s="15">
        <f>N6-P6</f>
        <v>-3</v>
      </c>
      <c r="R6" s="21"/>
      <c r="S6" s="11">
        <f>IF(OR(E7="",G7=""),0,1)</f>
        <v>1</v>
      </c>
      <c r="T6" s="11">
        <f>IF(OR(E11="",G11=""),0,1)</f>
        <v>1</v>
      </c>
      <c r="U6" s="11">
        <f>IF(OR(E23="",G23=""),0,1)</f>
        <v>1</v>
      </c>
    </row>
    <row r="7" spans="1:18" ht="12.75">
      <c r="A7" s="18">
        <f>Spielplan2!$B23</f>
        <v>26</v>
      </c>
      <c r="B7" s="18" t="str">
        <f>Spielplan2!$E23</f>
        <v>Tisch 2 C2</v>
      </c>
      <c r="C7" s="19" t="s">
        <v>13</v>
      </c>
      <c r="D7" s="20" t="str">
        <f>Spielplan2!$G23</f>
        <v>Tisch 4 D2</v>
      </c>
      <c r="E7" s="15">
        <f>IF(Spielplan2!$H23="","",Spielplan2!$H23)</f>
        <v>1</v>
      </c>
      <c r="F7" s="15" t="s">
        <v>14</v>
      </c>
      <c r="G7" s="15">
        <f>IF(Spielplan2!$J23="","",Spielplan2!$J23)</f>
        <v>1</v>
      </c>
      <c r="H7" s="73">
        <f t="shared" si="0"/>
        <v>1</v>
      </c>
      <c r="I7" s="73">
        <f t="shared" si="1"/>
        <v>1</v>
      </c>
      <c r="K7" s="13"/>
      <c r="L7" s="19"/>
      <c r="M7" s="19"/>
      <c r="N7" s="15"/>
      <c r="O7" s="15"/>
      <c r="P7" s="15"/>
      <c r="Q7" s="15"/>
      <c r="R7" s="21"/>
    </row>
    <row r="8" spans="1:23" ht="12.75">
      <c r="A8" s="18">
        <f>Spielplan2!$B35</f>
        <v>30</v>
      </c>
      <c r="B8" s="18">
        <f>Spielplan2!$E35</f>
        <v>0</v>
      </c>
      <c r="C8" s="19" t="s">
        <v>13</v>
      </c>
      <c r="D8" s="20">
        <f>Spielplan2!$G35</f>
        <v>0</v>
      </c>
      <c r="E8" s="15">
        <f>IF(Spielplan2!$H35="","",Spielplan2!$H35)</f>
      </c>
      <c r="F8" s="15" t="s">
        <v>14</v>
      </c>
      <c r="G8" s="15">
        <f>IF(Spielplan2!$J35="","",Spielplan2!$J35)</f>
      </c>
      <c r="H8" s="73">
        <f t="shared" si="0"/>
      </c>
      <c r="I8" s="73">
        <f t="shared" si="1"/>
      </c>
      <c r="K8" s="263" t="s">
        <v>43</v>
      </c>
      <c r="L8" s="263" t="s">
        <v>28</v>
      </c>
      <c r="M8" s="263" t="s">
        <v>1</v>
      </c>
      <c r="N8" s="263" t="s">
        <v>2</v>
      </c>
      <c r="O8" s="263"/>
      <c r="P8" s="263"/>
      <c r="Q8" s="263" t="s">
        <v>29</v>
      </c>
      <c r="V8" s="22"/>
      <c r="W8" s="22"/>
    </row>
    <row r="9" spans="1:23" ht="12.75">
      <c r="A9" s="18">
        <f>Spielplan2!$B25</f>
        <v>28</v>
      </c>
      <c r="B9" s="18" t="str">
        <f>Spielplan2!$E25</f>
        <v>Tisch 2 C1</v>
      </c>
      <c r="C9" s="19" t="s">
        <v>13</v>
      </c>
      <c r="D9" s="20" t="str">
        <f>Spielplan2!$G25</f>
        <v>Tisch 4 D1</v>
      </c>
      <c r="E9" s="15">
        <f>IF(Spielplan2!$H25="","",Spielplan2!$H25)</f>
        <v>1</v>
      </c>
      <c r="F9" s="15" t="s">
        <v>14</v>
      </c>
      <c r="G9" s="15">
        <f>IF(Spielplan2!$J25="","",Spielplan2!$J25)</f>
        <v>1</v>
      </c>
      <c r="H9" s="73">
        <f t="shared" si="0"/>
        <v>1</v>
      </c>
      <c r="I9" s="73">
        <f t="shared" si="1"/>
        <v>1</v>
      </c>
      <c r="K9" s="263"/>
      <c r="L9" s="263"/>
      <c r="M9" s="263"/>
      <c r="N9" s="263"/>
      <c r="O9" s="263"/>
      <c r="P9" s="263"/>
      <c r="Q9" s="263"/>
      <c r="V9" s="22"/>
      <c r="W9" s="22"/>
    </row>
    <row r="10" spans="1:23" ht="12.75">
      <c r="A10" s="18">
        <f>Spielplan2!$B36</f>
        <v>32</v>
      </c>
      <c r="B10" s="18">
        <f>Spielplan2!$E36</f>
        <v>0</v>
      </c>
      <c r="C10" s="19" t="s">
        <v>13</v>
      </c>
      <c r="D10" s="20">
        <f>Spielplan2!$G36</f>
        <v>0</v>
      </c>
      <c r="E10" s="15">
        <f>IF(Spielplan2!$H36="","",Spielplan2!$H36)</f>
      </c>
      <c r="F10" s="15" t="s">
        <v>14</v>
      </c>
      <c r="G10" s="15">
        <f>IF(Spielplan2!$J36="","",Spielplan2!$J36)</f>
      </c>
      <c r="H10" s="73">
        <f t="shared" si="0"/>
      </c>
      <c r="I10" s="73">
        <f t="shared" si="1"/>
      </c>
      <c r="K10" s="71">
        <f>Spielplan2!A12</f>
        <v>0</v>
      </c>
      <c r="L10" s="19">
        <f>SUM(S10:U10)</f>
        <v>0</v>
      </c>
      <c r="M10" s="19">
        <f>SUM(H4,H20,I12)</f>
        <v>0</v>
      </c>
      <c r="N10" s="15">
        <f>SUM(E4,G12,E20)</f>
        <v>0</v>
      </c>
      <c r="O10" s="15" t="s">
        <v>14</v>
      </c>
      <c r="P10" s="15">
        <f>SUM(G4,E12,G20)</f>
        <v>0</v>
      </c>
      <c r="Q10" s="15">
        <f>N10-P10</f>
        <v>0</v>
      </c>
      <c r="R10" s="23"/>
      <c r="S10" s="11">
        <f>IF(OR(E4="",G4=""),0,1)</f>
        <v>0</v>
      </c>
      <c r="T10" s="11">
        <f>IF(OR(E12="",G12=""),0,1)</f>
        <v>0</v>
      </c>
      <c r="U10" s="11">
        <f>IF(OR(E20="",G20=""),0,1)</f>
        <v>0</v>
      </c>
      <c r="V10" s="24"/>
      <c r="W10" s="24"/>
    </row>
    <row r="11" spans="1:23" ht="12.75">
      <c r="A11" s="18">
        <f>Spielplan2!$B30</f>
        <v>33</v>
      </c>
      <c r="B11" s="18" t="str">
        <f>Spielplan2!$E30</f>
        <v>Tisch 4 D2</v>
      </c>
      <c r="C11" s="19" t="s">
        <v>13</v>
      </c>
      <c r="D11" s="20" t="str">
        <f>Spielplan2!$G30</f>
        <v>Tisch 1 A1</v>
      </c>
      <c r="E11" s="15">
        <f>IF(Spielplan2!$H30="","",Spielplan2!$H30)</f>
        <v>0</v>
      </c>
      <c r="F11" s="15" t="s">
        <v>14</v>
      </c>
      <c r="G11" s="15">
        <f>IF(Spielplan2!$J30="","",Spielplan2!$J30)</f>
        <v>3</v>
      </c>
      <c r="H11" s="73">
        <f t="shared" si="0"/>
        <v>0</v>
      </c>
      <c r="I11" s="73">
        <f t="shared" si="1"/>
        <v>3</v>
      </c>
      <c r="J11" s="25"/>
      <c r="K11" s="71">
        <f>Spielplan2!A14</f>
        <v>0</v>
      </c>
      <c r="L11" s="19">
        <f>SUM(S11:U11)</f>
        <v>0</v>
      </c>
      <c r="M11" s="19">
        <f>SUM(I4,H24,H16)</f>
        <v>0</v>
      </c>
      <c r="N11" s="15">
        <f>SUM(G4,E16,E24)</f>
        <v>0</v>
      </c>
      <c r="O11" s="15" t="s">
        <v>14</v>
      </c>
      <c r="P11" s="15">
        <f>SUM(E4,G16,G24)</f>
        <v>0</v>
      </c>
      <c r="Q11" s="15">
        <f>N11-P11</f>
        <v>0</v>
      </c>
      <c r="R11" s="25"/>
      <c r="S11" s="11">
        <f>IF(OR(E4="",G4=""),0,1)</f>
        <v>0</v>
      </c>
      <c r="T11" s="11">
        <f>IF(OR(E16="",G16=""),0,1)</f>
        <v>0</v>
      </c>
      <c r="U11" s="11">
        <f>IF(OR(E24="",G24=""),0,1)</f>
        <v>0</v>
      </c>
      <c r="V11" s="25"/>
      <c r="W11" s="25"/>
    </row>
    <row r="12" spans="1:21" ht="12.75">
      <c r="A12" s="18">
        <f>Spielplan2!$B41</f>
        <v>42</v>
      </c>
      <c r="B12" s="18">
        <f>Spielplan2!$E41</f>
        <v>0</v>
      </c>
      <c r="C12" s="19" t="s">
        <v>13</v>
      </c>
      <c r="D12" s="20">
        <f>Spielplan2!$G41</f>
        <v>0</v>
      </c>
      <c r="E12" s="15">
        <f>IF(Spielplan2!$H41="","",Spielplan2!$H41)</f>
      </c>
      <c r="F12" s="15" t="s">
        <v>14</v>
      </c>
      <c r="G12" s="15">
        <f>IF(Spielplan2!$J41="","",Spielplan2!$J41)</f>
      </c>
      <c r="H12" s="73">
        <f t="shared" si="0"/>
      </c>
      <c r="I12" s="73">
        <f t="shared" si="1"/>
      </c>
      <c r="K12" s="71">
        <f>Spielplan2!A16</f>
        <v>0</v>
      </c>
      <c r="L12" s="19">
        <f>SUM(S12:U12)</f>
        <v>0</v>
      </c>
      <c r="M12" s="19">
        <f>SUM(H8,I16,I20)</f>
        <v>0</v>
      </c>
      <c r="N12" s="15">
        <f>SUM(E8,G16,G20)</f>
        <v>0</v>
      </c>
      <c r="O12" s="15" t="s">
        <v>14</v>
      </c>
      <c r="P12" s="15">
        <f>SUM(G8,E20,E16)</f>
        <v>0</v>
      </c>
      <c r="Q12" s="15">
        <f>N12-P12</f>
        <v>0</v>
      </c>
      <c r="S12" s="11">
        <f>IF(OR(E8="",G8=""),0,1)</f>
        <v>0</v>
      </c>
      <c r="T12" s="11">
        <f>IF(OR(E16="",G16=""),0,1)</f>
        <v>0</v>
      </c>
      <c r="U12" s="11">
        <f>IF(OR(E20="",G20=""),0,1)</f>
        <v>0</v>
      </c>
    </row>
    <row r="13" spans="1:21" ht="12.75">
      <c r="A13" s="18">
        <f>Spielplan2!$B32</f>
        <v>35</v>
      </c>
      <c r="B13" s="18" t="str">
        <f>Spielplan2!$E32</f>
        <v>Tisch 4 D1</v>
      </c>
      <c r="C13" s="19" t="s">
        <v>13</v>
      </c>
      <c r="D13" s="20" t="str">
        <f>Spielplan2!$G32</f>
        <v>Tisch 1 A2</v>
      </c>
      <c r="E13" s="15">
        <f>IF(Spielplan2!$H32="","",Spielplan2!$H32)</f>
        <v>0</v>
      </c>
      <c r="F13" s="15" t="s">
        <v>14</v>
      </c>
      <c r="G13" s="15">
        <f>IF(Spielplan2!$J32="","",Spielplan2!$J32)</f>
        <v>3</v>
      </c>
      <c r="H13" s="73">
        <f t="shared" si="0"/>
        <v>0</v>
      </c>
      <c r="I13" s="73">
        <f t="shared" si="1"/>
        <v>3</v>
      </c>
      <c r="K13" s="71">
        <f>Spielplan2!A18</f>
        <v>0</v>
      </c>
      <c r="L13" s="19">
        <f>SUM(S13:U13)</f>
        <v>0</v>
      </c>
      <c r="M13" s="19">
        <f>SUM(I8,H12,I24)</f>
        <v>0</v>
      </c>
      <c r="N13" s="15">
        <f>SUM(G8,E12,G24)</f>
        <v>0</v>
      </c>
      <c r="O13" s="15" t="s">
        <v>14</v>
      </c>
      <c r="P13" s="15">
        <f>SUM(E8,G12,E24)</f>
        <v>0</v>
      </c>
      <c r="Q13" s="15">
        <f>N13-P13</f>
        <v>0</v>
      </c>
      <c r="S13" s="11">
        <f>IF(OR(E8="",G8=""),0,1)</f>
        <v>0</v>
      </c>
      <c r="T13" s="11">
        <f>IF(OR(E12="",G12=""),0,1)</f>
        <v>0</v>
      </c>
      <c r="U13" s="11">
        <f>IF(OR(E24="",G24=""),0,1)</f>
        <v>0</v>
      </c>
    </row>
    <row r="14" spans="1:17" ht="15.75" customHeight="1">
      <c r="A14" s="18">
        <f>Spielplan2!$B42</f>
        <v>44</v>
      </c>
      <c r="B14" s="18">
        <f>Spielplan2!$E42</f>
        <v>0</v>
      </c>
      <c r="C14" s="19" t="s">
        <v>13</v>
      </c>
      <c r="D14" s="20">
        <f>Spielplan2!$G42</f>
        <v>0</v>
      </c>
      <c r="E14" s="15">
        <f>IF(Spielplan2!$H42="","",Spielplan2!$H42)</f>
      </c>
      <c r="F14" s="15" t="s">
        <v>14</v>
      </c>
      <c r="G14" s="15">
        <f>IF(Spielplan2!$J42="","",Spielplan2!$J42)</f>
      </c>
      <c r="H14" s="73">
        <f t="shared" si="0"/>
      </c>
      <c r="I14" s="73">
        <f t="shared" si="1"/>
      </c>
      <c r="K14" s="13"/>
      <c r="L14" s="19"/>
      <c r="M14" s="19"/>
      <c r="N14" s="15"/>
      <c r="O14" s="15"/>
      <c r="P14" s="15"/>
      <c r="Q14" s="15"/>
    </row>
    <row r="15" spans="1:23" ht="12.75" customHeight="1">
      <c r="A15" s="18">
        <f>Spielplan2!$B31</f>
        <v>34</v>
      </c>
      <c r="B15" s="18" t="str">
        <f>Spielplan2!$E31</f>
        <v>Tisch 2 B1</v>
      </c>
      <c r="C15" s="19" t="s">
        <v>13</v>
      </c>
      <c r="D15" s="20" t="str">
        <f>Spielplan2!$G31</f>
        <v>Tisch 2 C2</v>
      </c>
      <c r="E15" s="15">
        <f>IF(Spielplan2!$H31="","",Spielplan2!$H31)</f>
        <v>1</v>
      </c>
      <c r="F15" s="15" t="s">
        <v>14</v>
      </c>
      <c r="G15" s="15">
        <f>IF(Spielplan2!$J31="","",Spielplan2!$J31)</f>
        <v>1</v>
      </c>
      <c r="H15" s="73">
        <f t="shared" si="0"/>
        <v>1</v>
      </c>
      <c r="I15" s="73">
        <f t="shared" si="1"/>
        <v>1</v>
      </c>
      <c r="K15" s="263" t="s">
        <v>100</v>
      </c>
      <c r="L15" s="263" t="s">
        <v>28</v>
      </c>
      <c r="M15" s="263" t="s">
        <v>1</v>
      </c>
      <c r="N15" s="263" t="s">
        <v>2</v>
      </c>
      <c r="O15" s="263"/>
      <c r="P15" s="263"/>
      <c r="Q15" s="263" t="s">
        <v>29</v>
      </c>
      <c r="V15" s="22"/>
      <c r="W15" s="22"/>
    </row>
    <row r="16" spans="1:23" ht="12.75" customHeight="1">
      <c r="A16" s="18">
        <f>Spielplan2!$B43</f>
        <v>46</v>
      </c>
      <c r="B16" s="18">
        <f>Spielplan2!$E43</f>
        <v>0</v>
      </c>
      <c r="C16" s="19" t="s">
        <v>13</v>
      </c>
      <c r="D16" s="20">
        <f>Spielplan2!$G43</f>
        <v>0</v>
      </c>
      <c r="E16" s="15">
        <f>IF(Spielplan2!$H43="","",Spielplan2!$H43)</f>
      </c>
      <c r="F16" s="15" t="s">
        <v>14</v>
      </c>
      <c r="G16" s="15">
        <f>IF(Spielplan2!$J43="","",Spielplan2!$J43)</f>
      </c>
      <c r="H16" s="73">
        <f t="shared" si="0"/>
      </c>
      <c r="I16" s="73">
        <f t="shared" si="1"/>
      </c>
      <c r="K16" s="263"/>
      <c r="L16" s="263"/>
      <c r="M16" s="263"/>
      <c r="N16" s="263"/>
      <c r="O16" s="263"/>
      <c r="P16" s="263"/>
      <c r="Q16" s="263"/>
      <c r="V16" s="22"/>
      <c r="W16" s="22"/>
    </row>
    <row r="17" spans="1:23" ht="15.75" customHeight="1">
      <c r="A17" s="18">
        <f>Spielplan2!$B29</f>
        <v>32</v>
      </c>
      <c r="B17" s="18" t="str">
        <f>Spielplan2!$E29</f>
        <v>Tisch 2 B2</v>
      </c>
      <c r="C17" s="19" t="s">
        <v>13</v>
      </c>
      <c r="D17" s="20" t="str">
        <f>Spielplan2!$G29</f>
        <v>Tisch 2 C1</v>
      </c>
      <c r="E17" s="15">
        <f>IF(Spielplan2!$H29="","",Spielplan2!$H29)</f>
        <v>1</v>
      </c>
      <c r="F17" s="15" t="s">
        <v>14</v>
      </c>
      <c r="G17" s="15">
        <f>IF(Spielplan2!$J29="","",Spielplan2!$J29)</f>
        <v>1</v>
      </c>
      <c r="H17" s="73">
        <f t="shared" si="0"/>
        <v>1</v>
      </c>
      <c r="I17" s="73">
        <f t="shared" si="1"/>
        <v>1</v>
      </c>
      <c r="K17" s="71" t="str">
        <f>Spielplan2!G2</f>
        <v>Tisch 1 A2</v>
      </c>
      <c r="L17" s="19">
        <f>SUM(S17:U17)</f>
        <v>3</v>
      </c>
      <c r="M17" s="19">
        <f>SUM(H5,I13,H21)</f>
        <v>9</v>
      </c>
      <c r="N17" s="15">
        <f>SUM(E5,G13,E21)</f>
        <v>6</v>
      </c>
      <c r="O17" s="15" t="s">
        <v>14</v>
      </c>
      <c r="P17" s="15">
        <f>SUM(G5,E13,G21)</f>
        <v>0</v>
      </c>
      <c r="Q17" s="15">
        <f>N17-P17</f>
        <v>6</v>
      </c>
      <c r="R17" s="23"/>
      <c r="S17" s="11">
        <f>IF(OR(E5="",G5=""),0,1)</f>
        <v>1</v>
      </c>
      <c r="T17" s="11">
        <f>IF(OR(E13="",G13=""),0,1)</f>
        <v>1</v>
      </c>
      <c r="U17" s="11">
        <f>IF(OR(E21="",G21=""),0,1)</f>
        <v>1</v>
      </c>
      <c r="V17" s="24"/>
      <c r="W17" s="24"/>
    </row>
    <row r="18" spans="1:23" ht="12.75">
      <c r="A18" s="18">
        <f>Spielplan2!$B45</f>
        <v>48</v>
      </c>
      <c r="B18" s="18">
        <f>Spielplan2!$E45</f>
        <v>0</v>
      </c>
      <c r="C18" s="19" t="s">
        <v>13</v>
      </c>
      <c r="D18" s="20">
        <f>Spielplan2!$G45</f>
        <v>0</v>
      </c>
      <c r="E18" s="15">
        <f>IF(Spielplan2!$H45="","",Spielplan2!$H45)</f>
      </c>
      <c r="F18" s="15" t="s">
        <v>14</v>
      </c>
      <c r="G18" s="15">
        <f>IF(Spielplan2!$J45="","",Spielplan2!$J45)</f>
      </c>
      <c r="H18" s="73">
        <f t="shared" si="0"/>
      </c>
      <c r="I18" s="73">
        <f t="shared" si="1"/>
      </c>
      <c r="K18" s="71" t="str">
        <f>Spielplan2!G4</f>
        <v>Tisch 2 B2</v>
      </c>
      <c r="L18" s="19">
        <f>SUM(S18:U18)</f>
        <v>3</v>
      </c>
      <c r="M18" s="19">
        <f>SUM(I5,H17,H25)</f>
        <v>2</v>
      </c>
      <c r="N18" s="15">
        <f>SUM(G5,E17,E25)</f>
        <v>2</v>
      </c>
      <c r="O18" s="15" t="s">
        <v>14</v>
      </c>
      <c r="P18" s="15">
        <f>SUM(E5,G17,G25)</f>
        <v>3</v>
      </c>
      <c r="Q18" s="15">
        <f>N18-P18</f>
        <v>-1</v>
      </c>
      <c r="R18" s="25"/>
      <c r="S18" s="11">
        <f>IF(OR(E5="",G5=""),0,1)</f>
        <v>1</v>
      </c>
      <c r="T18" s="11">
        <f>IF(OR(E17="",G17=""),0,1)</f>
        <v>1</v>
      </c>
      <c r="U18" s="11">
        <f>IF(OR(E25="",G25=""),0,1)</f>
        <v>1</v>
      </c>
      <c r="V18" s="25"/>
      <c r="W18" s="25"/>
    </row>
    <row r="19" spans="1:21" ht="12.75">
      <c r="A19" s="18">
        <f>Spielplan2!$B26</f>
        <v>29</v>
      </c>
      <c r="B19" s="18" t="str">
        <f>Spielplan2!$E26</f>
        <v>Tisch 1 A1</v>
      </c>
      <c r="C19" s="19" t="s">
        <v>13</v>
      </c>
      <c r="D19" s="20" t="str">
        <f>Spielplan2!$G26</f>
        <v>Tisch 2 C2</v>
      </c>
      <c r="E19" s="15">
        <f>IF(Spielplan2!$H26="","",Spielplan2!$H26)</f>
        <v>2</v>
      </c>
      <c r="F19" s="15" t="s">
        <v>14</v>
      </c>
      <c r="G19" s="15">
        <f>IF(Spielplan2!$J26="","",Spielplan2!$J26)</f>
        <v>0</v>
      </c>
      <c r="H19" s="73">
        <f t="shared" si="0"/>
        <v>3</v>
      </c>
      <c r="I19" s="73">
        <f t="shared" si="1"/>
        <v>0</v>
      </c>
      <c r="K19" s="71" t="str">
        <f>Spielplan2!G6</f>
        <v>Tisch 2 C1</v>
      </c>
      <c r="L19" s="19">
        <f>SUM(S19:U19)</f>
        <v>3</v>
      </c>
      <c r="M19" s="19">
        <f>SUM(H9,I17,I21)</f>
        <v>2</v>
      </c>
      <c r="N19" s="15">
        <f>SUM(E9,G17,G21)</f>
        <v>2</v>
      </c>
      <c r="O19" s="15" t="s">
        <v>14</v>
      </c>
      <c r="P19" s="15">
        <f>SUM(G9,E17,E21)</f>
        <v>4</v>
      </c>
      <c r="Q19" s="15">
        <f>N19-P19</f>
        <v>-2</v>
      </c>
      <c r="S19" s="11">
        <f>IF(OR(E9="",G9=""),0,1)</f>
        <v>1</v>
      </c>
      <c r="T19" s="11">
        <f>IF(OR(E17="",G17=""),0,1)</f>
        <v>1</v>
      </c>
      <c r="U19" s="11">
        <f>IF(OR(E21="",G21=""),0,1)</f>
        <v>1</v>
      </c>
    </row>
    <row r="20" spans="1:21" ht="12.75">
      <c r="A20" s="18">
        <f>Spielplan2!$B37</f>
        <v>34</v>
      </c>
      <c r="B20" s="18">
        <f>Spielplan2!$E37</f>
        <v>0</v>
      </c>
      <c r="C20" s="19" t="s">
        <v>13</v>
      </c>
      <c r="D20" s="20">
        <f>Spielplan2!$G37</f>
        <v>0</v>
      </c>
      <c r="E20" s="15">
        <f>IF(Spielplan2!$H37="","",Spielplan2!$H37)</f>
      </c>
      <c r="F20" s="15" t="s">
        <v>14</v>
      </c>
      <c r="G20" s="15">
        <f>IF(Spielplan2!$J37="","",Spielplan2!$J37)</f>
      </c>
      <c r="H20" s="73">
        <f t="shared" si="0"/>
      </c>
      <c r="I20" s="73">
        <f t="shared" si="1"/>
      </c>
      <c r="K20" s="71" t="str">
        <f>Spielplan2!G8</f>
        <v>Tisch 4 D1</v>
      </c>
      <c r="L20" s="19">
        <f>SUM(S20:U20)</f>
        <v>3</v>
      </c>
      <c r="M20" s="19">
        <f>SUM(I9,I25,H13)</f>
        <v>2</v>
      </c>
      <c r="N20" s="15">
        <f>SUM(G9,G25,E13)</f>
        <v>2</v>
      </c>
      <c r="O20" s="15" t="s">
        <v>14</v>
      </c>
      <c r="P20" s="15">
        <f>SUM(E9,E25,G13)</f>
        <v>5</v>
      </c>
      <c r="Q20" s="15">
        <f>N20-P20</f>
        <v>-3</v>
      </c>
      <c r="S20" s="11">
        <f>IF(OR(E9="",G9=""),0,1)</f>
        <v>1</v>
      </c>
      <c r="T20" s="11">
        <f>IF(OR(E13="",G13=""),0,1)</f>
        <v>1</v>
      </c>
      <c r="U20" s="11">
        <f>IF(OR(E25="",G25=""),0,1)</f>
        <v>1</v>
      </c>
    </row>
    <row r="21" spans="1:17" ht="12.75">
      <c r="A21" s="18">
        <f>Spielplan2!$B28</f>
        <v>31</v>
      </c>
      <c r="B21" s="18" t="str">
        <f>Spielplan2!$E28</f>
        <v>Tisch 1 A2</v>
      </c>
      <c r="C21" s="19" t="s">
        <v>13</v>
      </c>
      <c r="D21" s="20" t="str">
        <f>Spielplan2!$G28</f>
        <v>Tisch 2 C1</v>
      </c>
      <c r="E21" s="15">
        <f>IF(Spielplan2!$H28="","",Spielplan2!$H28)</f>
        <v>2</v>
      </c>
      <c r="F21" s="15" t="s">
        <v>14</v>
      </c>
      <c r="G21" s="15">
        <f>IF(Spielplan2!$J28="","",Spielplan2!$J28)</f>
        <v>0</v>
      </c>
      <c r="H21" s="73">
        <f t="shared" si="0"/>
        <v>3</v>
      </c>
      <c r="I21" s="73">
        <f t="shared" si="1"/>
        <v>0</v>
      </c>
      <c r="K21" s="13"/>
      <c r="L21" s="19"/>
      <c r="M21" s="19"/>
      <c r="N21" s="15"/>
      <c r="O21" s="15"/>
      <c r="P21" s="15"/>
      <c r="Q21" s="15"/>
    </row>
    <row r="22" spans="1:23" ht="12.75">
      <c r="A22" s="18">
        <f>Spielplan2!$B38</f>
        <v>36</v>
      </c>
      <c r="B22" s="18">
        <f>Spielplan2!$E38</f>
        <v>0</v>
      </c>
      <c r="C22" s="19" t="s">
        <v>13</v>
      </c>
      <c r="D22" s="20">
        <f>Spielplan2!$G38</f>
        <v>0</v>
      </c>
      <c r="E22" s="15">
        <f>IF(Spielplan2!$H38="","",Spielplan2!$H38)</f>
      </c>
      <c r="F22" s="15" t="s">
        <v>14</v>
      </c>
      <c r="G22" s="15">
        <f>IF(Spielplan2!$J38="","",Spielplan2!$J38)</f>
      </c>
      <c r="H22" s="73">
        <f t="shared" si="0"/>
      </c>
      <c r="I22" s="73">
        <f t="shared" si="1"/>
      </c>
      <c r="K22" s="263" t="s">
        <v>44</v>
      </c>
      <c r="L22" s="263" t="s">
        <v>28</v>
      </c>
      <c r="M22" s="263" t="s">
        <v>1</v>
      </c>
      <c r="N22" s="263" t="s">
        <v>2</v>
      </c>
      <c r="O22" s="263"/>
      <c r="P22" s="263"/>
      <c r="Q22" s="263" t="s">
        <v>29</v>
      </c>
      <c r="V22" s="22"/>
      <c r="W22" s="22"/>
    </row>
    <row r="23" spans="1:23" ht="12.75">
      <c r="A23" s="18">
        <f>Spielplan2!$B27</f>
        <v>30</v>
      </c>
      <c r="B23" s="18" t="str">
        <f>Spielplan2!$E27</f>
        <v>Tisch 2 B1</v>
      </c>
      <c r="C23" s="19" t="s">
        <v>13</v>
      </c>
      <c r="D23" s="20" t="str">
        <f>Spielplan2!$G27</f>
        <v>Tisch 4 D2</v>
      </c>
      <c r="E23" s="15">
        <f>IF(Spielplan2!$H27="","",Spielplan2!$H27)</f>
        <v>1</v>
      </c>
      <c r="F23" s="15" t="s">
        <v>14</v>
      </c>
      <c r="G23" s="15">
        <f>IF(Spielplan2!$J27="","",Spielplan2!$J27)</f>
        <v>1</v>
      </c>
      <c r="H23" s="73">
        <f t="shared" si="0"/>
        <v>1</v>
      </c>
      <c r="I23" s="73">
        <f t="shared" si="1"/>
        <v>1</v>
      </c>
      <c r="K23" s="263"/>
      <c r="L23" s="263"/>
      <c r="M23" s="263"/>
      <c r="N23" s="263"/>
      <c r="O23" s="263"/>
      <c r="P23" s="263"/>
      <c r="Q23" s="263"/>
      <c r="V23" s="22"/>
      <c r="W23" s="22"/>
    </row>
    <row r="24" spans="1:23" ht="12.75">
      <c r="A24" s="18">
        <f>Spielplan2!$B39</f>
        <v>38</v>
      </c>
      <c r="B24" s="18">
        <f>Spielplan2!$E39</f>
        <v>0</v>
      </c>
      <c r="C24" s="19" t="s">
        <v>13</v>
      </c>
      <c r="D24" s="20">
        <f>Spielplan2!$G39</f>
        <v>0</v>
      </c>
      <c r="E24" s="15">
        <f>IF(Spielplan2!$H39="","",Spielplan2!$H39)</f>
      </c>
      <c r="F24" s="15" t="s">
        <v>14</v>
      </c>
      <c r="G24" s="15">
        <f>IF(Spielplan2!$J39="","",Spielplan2!$J39)</f>
      </c>
      <c r="H24" s="73">
        <f t="shared" si="0"/>
      </c>
      <c r="I24" s="73">
        <f t="shared" si="1"/>
      </c>
      <c r="K24" s="71">
        <f>Spielplan2!G12</f>
        <v>0</v>
      </c>
      <c r="L24" s="19">
        <f>SUM(S24:U24)</f>
        <v>0</v>
      </c>
      <c r="M24" s="19">
        <f>SUM(H6,I14,H22)</f>
        <v>0</v>
      </c>
      <c r="N24" s="15">
        <f>SUM(G14,E22,E6)</f>
        <v>0</v>
      </c>
      <c r="O24" s="15" t="s">
        <v>14</v>
      </c>
      <c r="P24" s="15">
        <f>SUM(G6,E14,G22)</f>
        <v>0</v>
      </c>
      <c r="Q24" s="15">
        <f>N24-P24</f>
        <v>0</v>
      </c>
      <c r="R24" s="23"/>
      <c r="S24" s="11">
        <f>IF(OR(E6="",G6=""),0,1)</f>
        <v>0</v>
      </c>
      <c r="T24" s="11">
        <f>IF(OR(E14="",G14=""),0,1)</f>
        <v>0</v>
      </c>
      <c r="U24" s="11">
        <f>IF(OR(E22="",G22=""),0,1)</f>
        <v>0</v>
      </c>
      <c r="V24" s="24"/>
      <c r="W24" s="24"/>
    </row>
    <row r="25" spans="1:23" ht="12.75">
      <c r="A25" s="18">
        <f>Spielplan2!$B33</f>
        <v>36</v>
      </c>
      <c r="B25" s="18" t="str">
        <f>Spielplan2!$E33</f>
        <v>Tisch 2 B2</v>
      </c>
      <c r="C25" s="19" t="s">
        <v>13</v>
      </c>
      <c r="D25" s="20" t="str">
        <f>Spielplan2!$G33</f>
        <v>Tisch 4 D1</v>
      </c>
      <c r="E25" s="15">
        <f>IF(Spielplan2!$H33="","",Spielplan2!$H33)</f>
        <v>1</v>
      </c>
      <c r="F25" s="15" t="s">
        <v>14</v>
      </c>
      <c r="G25" s="15">
        <f>IF(Spielplan2!$J33="","",Spielplan2!$J33)</f>
        <v>1</v>
      </c>
      <c r="H25" s="73">
        <f t="shared" si="0"/>
        <v>1</v>
      </c>
      <c r="I25" s="73">
        <f t="shared" si="1"/>
        <v>1</v>
      </c>
      <c r="K25" s="71">
        <f>Spielplan2!G14</f>
        <v>0</v>
      </c>
      <c r="L25" s="19">
        <f>SUM(S25:U25)</f>
        <v>0</v>
      </c>
      <c r="M25" s="19">
        <f>SUM(I6,H18,H26)</f>
        <v>0</v>
      </c>
      <c r="N25" s="15">
        <f>SUM(G6,E18,E26)</f>
        <v>0</v>
      </c>
      <c r="O25" s="15" t="s">
        <v>14</v>
      </c>
      <c r="P25" s="15">
        <f>SUM(E6,G18,G26)</f>
        <v>0</v>
      </c>
      <c r="Q25" s="15">
        <f>N25-P25</f>
        <v>0</v>
      </c>
      <c r="R25" s="25"/>
      <c r="S25" s="11">
        <f>IF(OR(E6="",G6=""),0,1)</f>
        <v>0</v>
      </c>
      <c r="T25" s="11">
        <f>IF(OR(E18="",G18=""),0,1)</f>
        <v>0</v>
      </c>
      <c r="U25" s="11">
        <f>IF(OR(E26="",G26=""),0,1)</f>
        <v>0</v>
      </c>
      <c r="V25" s="25"/>
      <c r="W25" s="25"/>
    </row>
    <row r="26" spans="1:21" ht="12.75">
      <c r="A26" s="18">
        <f>Spielplan2!$B40</f>
        <v>40</v>
      </c>
      <c r="B26" s="18">
        <f>Spielplan2!$E40</f>
        <v>0</v>
      </c>
      <c r="C26" s="19" t="s">
        <v>13</v>
      </c>
      <c r="D26" s="20">
        <f>Spielplan2!$G40</f>
        <v>0</v>
      </c>
      <c r="E26" s="15">
        <f>IF(Spielplan2!$H40="","",Spielplan2!$H40)</f>
      </c>
      <c r="F26" s="15" t="s">
        <v>14</v>
      </c>
      <c r="G26" s="15">
        <f>IF(Spielplan2!$J40="","",Spielplan2!$J40)</f>
      </c>
      <c r="H26" s="73">
        <f t="shared" si="0"/>
      </c>
      <c r="I26" s="73">
        <f t="shared" si="1"/>
      </c>
      <c r="J26" s="26"/>
      <c r="K26" s="71">
        <f>Spielplan2!G16</f>
        <v>0</v>
      </c>
      <c r="L26" s="19">
        <f>SUM(S26:U26)</f>
        <v>0</v>
      </c>
      <c r="M26" s="19">
        <f>SUM(H10,I18,I22)</f>
        <v>0</v>
      </c>
      <c r="N26" s="15">
        <f>SUM(E10,G18,G22)</f>
        <v>0</v>
      </c>
      <c r="O26" s="15" t="s">
        <v>14</v>
      </c>
      <c r="P26" s="15">
        <f>SUM(G10,E18,E22)</f>
        <v>0</v>
      </c>
      <c r="Q26" s="15">
        <f>N26-P26</f>
        <v>0</v>
      </c>
      <c r="S26" s="11">
        <f>IF(OR(E10="",G10=""),0,1)</f>
        <v>0</v>
      </c>
      <c r="T26" s="11">
        <f>IF(OR(E18="",G18=""),0,1)</f>
        <v>0</v>
      </c>
      <c r="U26" s="11">
        <f>IF(OR(E22="",G22=""),0,1)</f>
        <v>0</v>
      </c>
    </row>
    <row r="27" spans="1:21" ht="12.75">
      <c r="A27" s="18"/>
      <c r="B27" s="18"/>
      <c r="C27" s="19"/>
      <c r="D27" s="20"/>
      <c r="E27" s="15"/>
      <c r="F27" s="15"/>
      <c r="G27" s="15"/>
      <c r="K27" s="71">
        <f>Spielplan2!G18</f>
        <v>0</v>
      </c>
      <c r="L27" s="19">
        <f>SUM(S27:U27)</f>
        <v>0</v>
      </c>
      <c r="M27" s="19">
        <f>SUM(I10,I26,H14)</f>
        <v>0</v>
      </c>
      <c r="N27" s="15">
        <f>SUM(G10,E14,G26)</f>
        <v>0</v>
      </c>
      <c r="O27" s="15" t="s">
        <v>14</v>
      </c>
      <c r="P27" s="15">
        <f>SUM(E10,G14,E26)</f>
        <v>0</v>
      </c>
      <c r="Q27" s="15">
        <f>N27-P27</f>
        <v>0</v>
      </c>
      <c r="S27" s="11">
        <f>IF(OR(E10="",G10=""),0,1)</f>
        <v>0</v>
      </c>
      <c r="T27" s="11">
        <f>IF(OR(E14="",G14=""),0,1)</f>
        <v>0</v>
      </c>
      <c r="U27" s="11">
        <f>IF(OR(E26="",G26=""),0,1)</f>
        <v>0</v>
      </c>
    </row>
    <row r="30" ht="12.75"/>
    <row r="31" ht="12.75"/>
    <row r="32" ht="12.75"/>
    <row r="33"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A3" sqref="A3"/>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24</v>
      </c>
      <c r="B2" s="15" t="s">
        <v>25</v>
      </c>
      <c r="C2" s="15"/>
      <c r="D2" s="15" t="s">
        <v>25</v>
      </c>
      <c r="E2" s="263" t="s">
        <v>12</v>
      </c>
      <c r="F2" s="263"/>
      <c r="G2" s="263"/>
      <c r="H2" s="72" t="s">
        <v>26</v>
      </c>
      <c r="I2" s="72" t="s">
        <v>27</v>
      </c>
      <c r="J2" s="16"/>
      <c r="K2" s="17" t="s">
        <v>0</v>
      </c>
      <c r="L2" s="17" t="s">
        <v>28</v>
      </c>
      <c r="M2" s="17" t="s">
        <v>1</v>
      </c>
      <c r="N2" s="264" t="s">
        <v>2</v>
      </c>
      <c r="O2" s="264"/>
      <c r="P2" s="264"/>
      <c r="Q2" s="17" t="s">
        <v>29</v>
      </c>
      <c r="R2" s="16"/>
      <c r="S2" s="11" t="s">
        <v>30</v>
      </c>
      <c r="T2" s="11" t="s">
        <v>31</v>
      </c>
      <c r="U2" s="11" t="s">
        <v>32</v>
      </c>
      <c r="V2" s="12" t="s">
        <v>33</v>
      </c>
      <c r="W2" s="12" t="s">
        <v>34</v>
      </c>
      <c r="X2" s="12" t="s">
        <v>38</v>
      </c>
      <c r="Y2" s="12" t="s">
        <v>39</v>
      </c>
    </row>
    <row r="3" spans="1:25" ht="12.75">
      <c r="A3" s="18">
        <f>Spielplan!$B14</f>
        <v>1</v>
      </c>
      <c r="B3" s="18" t="str">
        <f>Spielplan!$E14</f>
        <v>Tisch 1 A1</v>
      </c>
      <c r="C3" s="19" t="s">
        <v>13</v>
      </c>
      <c r="D3" s="20" t="str">
        <f>Spielplan!$G14</f>
        <v>Tisch 1 A2</v>
      </c>
      <c r="E3" s="15">
        <f>IF(Spielplan!$H14="","",Spielplan!$H14)</f>
        <v>1</v>
      </c>
      <c r="F3" s="15" t="s">
        <v>14</v>
      </c>
      <c r="G3" s="15">
        <f>IF(Spielplan!$J14="","",Spielplan!$J14)</f>
        <v>1</v>
      </c>
      <c r="H3" s="73">
        <f aca="true" t="shared" si="0" ref="H3:H22">IF(OR($E3="",$G3=""),"",IF(E3&gt;G3,3,IF(E3=G3,1,0)))</f>
        <v>1</v>
      </c>
      <c r="I3" s="73">
        <f aca="true" t="shared" si="1" ref="I3:I22">IF(OR($E3="",$G3=""),"",IF(G3&gt;E3,3,IF(E3=G3,1,0)))</f>
        <v>1</v>
      </c>
      <c r="K3" s="71" t="str">
        <f>Vorgaben!A2</f>
        <v>Tisch 1 A1</v>
      </c>
      <c r="L3" s="19">
        <f>SUM(S3:U3)</f>
        <v>3</v>
      </c>
      <c r="M3" s="19">
        <f>SUM(H3,I11,H19)</f>
        <v>3</v>
      </c>
      <c r="N3" s="15">
        <f>SUM(E3,G11,E19)</f>
        <v>3</v>
      </c>
      <c r="O3" s="15" t="s">
        <v>14</v>
      </c>
      <c r="P3" s="15">
        <f>SUM(G3,E11,G19)</f>
        <v>3</v>
      </c>
      <c r="Q3" s="15">
        <f>N3-P3</f>
        <v>0</v>
      </c>
      <c r="R3" s="21"/>
      <c r="S3" s="11">
        <f>IF(OR(E3="",G3=""),0,1)</f>
        <v>1</v>
      </c>
      <c r="T3" s="11">
        <f>IF(OR(E11="",G11=""),0,1)</f>
        <v>1</v>
      </c>
      <c r="U3" s="11">
        <f>IF(OR(E19="",G19=""),0,1)</f>
        <v>1</v>
      </c>
      <c r="V3" s="11">
        <f>SUM(L3:L7)/2</f>
        <v>6</v>
      </c>
      <c r="W3" s="11">
        <f>SUM(L10:L14)/2</f>
        <v>6</v>
      </c>
      <c r="X3" s="11">
        <f>SUM(L17:L21)/2</f>
        <v>6</v>
      </c>
      <c r="Y3" s="11">
        <f>SUM(L24:L28)/2</f>
        <v>6</v>
      </c>
    </row>
    <row r="4" spans="1:21" ht="12.75">
      <c r="A4" s="18">
        <f>Spielplan!$B15</f>
        <v>2</v>
      </c>
      <c r="B4" s="18" t="str">
        <f>Spielplan!$E15</f>
        <v>Tisch 2 B1</v>
      </c>
      <c r="C4" s="19" t="s">
        <v>13</v>
      </c>
      <c r="D4" s="20" t="str">
        <f>Spielplan!$G15</f>
        <v>Tisch 2 B2</v>
      </c>
      <c r="E4" s="15">
        <f>IF(Spielplan!$H15="","",Spielplan!$H15)</f>
        <v>1</v>
      </c>
      <c r="F4" s="15" t="s">
        <v>14</v>
      </c>
      <c r="G4" s="15">
        <f>IF(Spielplan!$J15="","",Spielplan!$J15)</f>
        <v>1</v>
      </c>
      <c r="H4" s="73">
        <f t="shared" si="0"/>
        <v>1</v>
      </c>
      <c r="I4" s="73">
        <f t="shared" si="1"/>
        <v>1</v>
      </c>
      <c r="K4" s="71" t="str">
        <f>Vorgaben!A3</f>
        <v>Tisch 1 A2</v>
      </c>
      <c r="L4" s="19">
        <f>SUM(S4:U4)</f>
        <v>3</v>
      </c>
      <c r="M4" s="19">
        <f>SUM(I3,H15,H23)</f>
        <v>3</v>
      </c>
      <c r="N4" s="15">
        <f>SUM(G3,E15,E23)</f>
        <v>3</v>
      </c>
      <c r="O4" s="15" t="s">
        <v>14</v>
      </c>
      <c r="P4" s="15">
        <f>SUM(E3,G15,G23)</f>
        <v>3</v>
      </c>
      <c r="Q4" s="15">
        <f>N4-P4</f>
        <v>0</v>
      </c>
      <c r="R4" s="21"/>
      <c r="S4" s="11">
        <f>IF(OR(E3="",G3=""),0,1)</f>
        <v>1</v>
      </c>
      <c r="T4" s="11">
        <f>IF(OR(E15="",G15=""),0,1)</f>
        <v>1</v>
      </c>
      <c r="U4" s="11">
        <f>IF(OR(E23="",G23=""),0,1)</f>
        <v>1</v>
      </c>
    </row>
    <row r="5" spans="1:21" ht="12.75">
      <c r="A5" s="18">
        <f>Spielplan!$B16</f>
        <v>3</v>
      </c>
      <c r="B5" s="18" t="str">
        <f>Spielplan!$E16</f>
        <v>Tisch 2 C1</v>
      </c>
      <c r="C5" s="19" t="s">
        <v>13</v>
      </c>
      <c r="D5" s="20" t="str">
        <f>Spielplan!$G16</f>
        <v>Tisch 2 C2</v>
      </c>
      <c r="E5" s="15">
        <f>IF(Spielplan!$H16="","",Spielplan!$H16)</f>
        <v>1</v>
      </c>
      <c r="F5" s="15" t="s">
        <v>14</v>
      </c>
      <c r="G5" s="15">
        <f>IF(Spielplan!$J16="","",Spielplan!$J16)</f>
        <v>1</v>
      </c>
      <c r="H5" s="73">
        <f t="shared" si="0"/>
        <v>1</v>
      </c>
      <c r="I5" s="73">
        <f t="shared" si="1"/>
        <v>1</v>
      </c>
      <c r="K5" s="71" t="str">
        <f>Vorgaben!A4</f>
        <v>Tisch 1 A3</v>
      </c>
      <c r="L5" s="19">
        <f>SUM(S5:U5)</f>
        <v>3</v>
      </c>
      <c r="M5" s="19">
        <f>SUM(H7,I15,I19)</f>
        <v>3</v>
      </c>
      <c r="N5" s="15">
        <f>SUM(E7,G15,G19)</f>
        <v>3</v>
      </c>
      <c r="O5" s="15" t="s">
        <v>14</v>
      </c>
      <c r="P5" s="15">
        <f>SUM(G7,E15,E19)</f>
        <v>3</v>
      </c>
      <c r="Q5" s="15">
        <f>N5-P5</f>
        <v>0</v>
      </c>
      <c r="R5" s="21"/>
      <c r="S5" s="11">
        <f>IF(OR(E7="",G7=""),0,1)</f>
        <v>1</v>
      </c>
      <c r="T5" s="11">
        <f>IF(OR(E15="",G15=""),0,1)</f>
        <v>1</v>
      </c>
      <c r="U5" s="11">
        <f>IF(OR(E19="",G19=""),0,1)</f>
        <v>1</v>
      </c>
    </row>
    <row r="6" spans="1:21" ht="12.75">
      <c r="A6" s="18">
        <f>Spielplan!$B17</f>
        <v>4</v>
      </c>
      <c r="B6" s="18" t="str">
        <f>Spielplan!$E17</f>
        <v>Tisch 4 D1</v>
      </c>
      <c r="C6" s="19" t="s">
        <v>13</v>
      </c>
      <c r="D6" s="20" t="str">
        <f>Spielplan!$G17</f>
        <v>Tisch 4 D2</v>
      </c>
      <c r="E6" s="15">
        <f>IF(Spielplan!$H17="","",Spielplan!$H17)</f>
        <v>1</v>
      </c>
      <c r="F6" s="15" t="s">
        <v>14</v>
      </c>
      <c r="G6" s="15">
        <f>IF(Spielplan!$J17="","",Spielplan!$J17)</f>
        <v>1</v>
      </c>
      <c r="H6" s="73">
        <f t="shared" si="0"/>
        <v>1</v>
      </c>
      <c r="I6" s="73">
        <f t="shared" si="1"/>
        <v>1</v>
      </c>
      <c r="K6" s="71" t="str">
        <f>Vorgaben!A5</f>
        <v>Tisch 1 A4</v>
      </c>
      <c r="L6" s="19">
        <f>SUM(S6:U6)</f>
        <v>3</v>
      </c>
      <c r="M6" s="19">
        <f>SUM(I7,H11,I23)</f>
        <v>3</v>
      </c>
      <c r="N6" s="15">
        <f>SUM(G7,E11,G23)</f>
        <v>3</v>
      </c>
      <c r="O6" s="15" t="s">
        <v>14</v>
      </c>
      <c r="P6" s="15">
        <f>SUM(E7,G11,E23)</f>
        <v>3</v>
      </c>
      <c r="Q6" s="15">
        <f>N6-P6</f>
        <v>0</v>
      </c>
      <c r="R6" s="21"/>
      <c r="S6" s="11">
        <f>IF(OR(E7="",G7=""),0,1)</f>
        <v>1</v>
      </c>
      <c r="T6" s="11">
        <f>IF(OR(E11="",G11=""),0,1)</f>
        <v>1</v>
      </c>
      <c r="U6" s="11">
        <f>IF(OR(E23="",G23=""),0,1)</f>
        <v>1</v>
      </c>
    </row>
    <row r="7" spans="1:18" ht="12.75">
      <c r="A7" s="18">
        <f>Spielplan!$B18</f>
        <v>5</v>
      </c>
      <c r="B7" s="18" t="str">
        <f>Spielplan!$E18</f>
        <v>Tisch 1 A3</v>
      </c>
      <c r="C7" s="19" t="s">
        <v>13</v>
      </c>
      <c r="D7" s="20" t="str">
        <f>Spielplan!$G18</f>
        <v>Tisch 1 A4</v>
      </c>
      <c r="E7" s="15">
        <f>IF(Spielplan!$H18="","",Spielplan!$H18)</f>
        <v>1</v>
      </c>
      <c r="F7" s="15" t="s">
        <v>14</v>
      </c>
      <c r="G7" s="15">
        <f>IF(Spielplan!$J18="","",Spielplan!$J18)</f>
        <v>1</v>
      </c>
      <c r="H7" s="73">
        <f t="shared" si="0"/>
        <v>1</v>
      </c>
      <c r="I7" s="73">
        <f t="shared" si="1"/>
        <v>1</v>
      </c>
      <c r="K7" s="13"/>
      <c r="L7" s="19"/>
      <c r="M7" s="19"/>
      <c r="N7" s="15"/>
      <c r="O7" s="15"/>
      <c r="P7" s="15"/>
      <c r="Q7" s="15"/>
      <c r="R7" s="21"/>
    </row>
    <row r="8" spans="1:23" ht="12.75">
      <c r="A8" s="18">
        <f>Spielplan!$B19</f>
        <v>6</v>
      </c>
      <c r="B8" s="18" t="str">
        <f>Spielplan!$E19</f>
        <v>Tisch 2 B3</v>
      </c>
      <c r="C8" s="19" t="s">
        <v>13</v>
      </c>
      <c r="D8" s="20" t="str">
        <f>Spielplan!$G19</f>
        <v>Tisch 2 B4</v>
      </c>
      <c r="E8" s="15">
        <f>IF(Spielplan!$H19="","",Spielplan!$H19)</f>
        <v>1</v>
      </c>
      <c r="F8" s="15" t="s">
        <v>14</v>
      </c>
      <c r="G8" s="15">
        <f>IF(Spielplan!$J19="","",Spielplan!$J19)</f>
        <v>1</v>
      </c>
      <c r="H8" s="73">
        <f t="shared" si="0"/>
        <v>1</v>
      </c>
      <c r="I8" s="73">
        <f t="shared" si="1"/>
        <v>1</v>
      </c>
      <c r="K8" s="263" t="s">
        <v>6</v>
      </c>
      <c r="L8" s="263" t="s">
        <v>28</v>
      </c>
      <c r="M8" s="263" t="s">
        <v>1</v>
      </c>
      <c r="N8" s="263" t="s">
        <v>2</v>
      </c>
      <c r="O8" s="263"/>
      <c r="P8" s="263"/>
      <c r="Q8" s="263" t="s">
        <v>29</v>
      </c>
      <c r="V8" s="22"/>
      <c r="W8" s="22"/>
    </row>
    <row r="9" spans="1:23" ht="12.75">
      <c r="A9" s="18">
        <f>Spielplan!$B20</f>
        <v>7</v>
      </c>
      <c r="B9" s="18" t="str">
        <f>Spielplan!$E20</f>
        <v>Tisch 2 C3</v>
      </c>
      <c r="C9" s="19" t="s">
        <v>13</v>
      </c>
      <c r="D9" s="20" t="str">
        <f>Spielplan!$G20</f>
        <v>Tisch 2 C4</v>
      </c>
      <c r="E9" s="15">
        <f>IF(Spielplan!$H20="","",Spielplan!$H20)</f>
        <v>1</v>
      </c>
      <c r="F9" s="15" t="s">
        <v>14</v>
      </c>
      <c r="G9" s="15">
        <f>IF(Spielplan!$J20="","",Spielplan!$J20)</f>
        <v>1</v>
      </c>
      <c r="H9" s="73">
        <f t="shared" si="0"/>
        <v>1</v>
      </c>
      <c r="I9" s="73">
        <f t="shared" si="1"/>
        <v>1</v>
      </c>
      <c r="K9" s="263"/>
      <c r="L9" s="263"/>
      <c r="M9" s="263"/>
      <c r="N9" s="263"/>
      <c r="O9" s="263"/>
      <c r="P9" s="263"/>
      <c r="Q9" s="263"/>
      <c r="V9" s="22"/>
      <c r="W9" s="22"/>
    </row>
    <row r="10" spans="1:23" ht="12.75">
      <c r="A10" s="18">
        <f>Spielplan!$B21</f>
        <v>8</v>
      </c>
      <c r="B10" s="18" t="str">
        <f>Spielplan!$E21</f>
        <v>Tisch 4 D3</v>
      </c>
      <c r="C10" s="19" t="s">
        <v>13</v>
      </c>
      <c r="D10" s="20" t="str">
        <f>Spielplan!$G21</f>
        <v>Tisch 4 D4</v>
      </c>
      <c r="E10" s="15">
        <f>IF(Spielplan!$H21="","",Spielplan!$H21)</f>
        <v>1</v>
      </c>
      <c r="F10" s="15" t="s">
        <v>14</v>
      </c>
      <c r="G10" s="15">
        <f>IF(Spielplan!$J21="","",Spielplan!$J21)</f>
        <v>1</v>
      </c>
      <c r="H10" s="73">
        <f t="shared" si="0"/>
        <v>1</v>
      </c>
      <c r="I10" s="73">
        <f t="shared" si="1"/>
        <v>1</v>
      </c>
      <c r="K10" s="71" t="str">
        <f>Vorgaben!A9</f>
        <v>Tisch 2 B1</v>
      </c>
      <c r="L10" s="19">
        <f>SUM(S10:U10)</f>
        <v>3</v>
      </c>
      <c r="M10" s="19">
        <f>SUM(H4,H20,I12)</f>
        <v>3</v>
      </c>
      <c r="N10" s="15">
        <f>SUM(E4,G12,E20)</f>
        <v>3</v>
      </c>
      <c r="O10" s="15" t="s">
        <v>14</v>
      </c>
      <c r="P10" s="15">
        <f>SUM(G4,E12,G20)</f>
        <v>3</v>
      </c>
      <c r="Q10" s="15">
        <f>N10-P10</f>
        <v>0</v>
      </c>
      <c r="R10" s="23"/>
      <c r="S10" s="11">
        <f>IF(OR(E4="",G4=""),0,1)</f>
        <v>1</v>
      </c>
      <c r="T10" s="11">
        <f>IF(OR(E12="",G12=""),0,1)</f>
        <v>1</v>
      </c>
      <c r="U10" s="11">
        <f>IF(OR(E20="",G20=""),0,1)</f>
        <v>1</v>
      </c>
      <c r="V10" s="24"/>
      <c r="W10" s="24"/>
    </row>
    <row r="11" spans="1:23" ht="12.75">
      <c r="A11" s="18">
        <f>Spielplan!$B22</f>
        <v>9</v>
      </c>
      <c r="B11" s="18" t="str">
        <f>Spielplan!$E22</f>
        <v>Tisch 1 A4</v>
      </c>
      <c r="C11" s="19" t="s">
        <v>13</v>
      </c>
      <c r="D11" s="20" t="str">
        <f>Spielplan!$G22</f>
        <v>Tisch 1 A1</v>
      </c>
      <c r="E11" s="15">
        <f>IF(Spielplan!$H22="","",Spielplan!$H22)</f>
        <v>1</v>
      </c>
      <c r="F11" s="15" t="s">
        <v>14</v>
      </c>
      <c r="G11" s="15">
        <f>IF(Spielplan!$J22="","",Spielplan!$J22)</f>
        <v>1</v>
      </c>
      <c r="H11" s="73">
        <f t="shared" si="0"/>
        <v>1</v>
      </c>
      <c r="I11" s="73">
        <f t="shared" si="1"/>
        <v>1</v>
      </c>
      <c r="J11" s="25"/>
      <c r="K11" s="71" t="str">
        <f>Vorgaben!A10</f>
        <v>Tisch 2 B2</v>
      </c>
      <c r="L11" s="19">
        <f>SUM(S11:U11)</f>
        <v>3</v>
      </c>
      <c r="M11" s="19">
        <f>SUM(I4,H24,H16)</f>
        <v>3</v>
      </c>
      <c r="N11" s="15">
        <f>SUM(G4,E16,E24)</f>
        <v>3</v>
      </c>
      <c r="O11" s="15" t="s">
        <v>14</v>
      </c>
      <c r="P11" s="15">
        <f>SUM(E4,G16,G24)</f>
        <v>3</v>
      </c>
      <c r="Q11" s="15">
        <f>N11-P11</f>
        <v>0</v>
      </c>
      <c r="R11" s="25"/>
      <c r="S11" s="11">
        <f>IF(OR(E4="",G4=""),0,1)</f>
        <v>1</v>
      </c>
      <c r="T11" s="11">
        <f>IF(OR(E16="",G16=""),0,1)</f>
        <v>1</v>
      </c>
      <c r="U11" s="11">
        <f>IF(OR(E24="",G24=""),0,1)</f>
        <v>1</v>
      </c>
      <c r="V11" s="25"/>
      <c r="W11" s="25"/>
    </row>
    <row r="12" spans="1:21" ht="12.75">
      <c r="A12" s="18">
        <f>Spielplan!$B23</f>
        <v>10</v>
      </c>
      <c r="B12" s="18" t="str">
        <f>Spielplan!$E23</f>
        <v>Tisch 2 B4</v>
      </c>
      <c r="C12" s="19" t="s">
        <v>13</v>
      </c>
      <c r="D12" s="20" t="str">
        <f>Spielplan!$G23</f>
        <v>Tisch 2 B1</v>
      </c>
      <c r="E12" s="15">
        <f>IF(Spielplan!$H23="","",Spielplan!$H23)</f>
        <v>1</v>
      </c>
      <c r="F12" s="15" t="s">
        <v>14</v>
      </c>
      <c r="G12" s="15">
        <f>IF(Spielplan!$J23="","",Spielplan!$J23)</f>
        <v>1</v>
      </c>
      <c r="H12" s="73">
        <f t="shared" si="0"/>
        <v>1</v>
      </c>
      <c r="I12" s="73">
        <f t="shared" si="1"/>
        <v>1</v>
      </c>
      <c r="K12" s="71" t="str">
        <f>Vorgaben!A11</f>
        <v>Tisch 2 B3</v>
      </c>
      <c r="L12" s="19">
        <f>SUM(S12:U12)</f>
        <v>3</v>
      </c>
      <c r="M12" s="19">
        <f>SUM(H8,I16,I20)</f>
        <v>3</v>
      </c>
      <c r="N12" s="15">
        <f>SUM(E8,G16,G20)</f>
        <v>3</v>
      </c>
      <c r="O12" s="15" t="s">
        <v>14</v>
      </c>
      <c r="P12" s="15">
        <f>SUM(G8,E20,E16)</f>
        <v>3</v>
      </c>
      <c r="Q12" s="15">
        <f>N12-P12</f>
        <v>0</v>
      </c>
      <c r="S12" s="11">
        <f>IF(OR(E8="",G8=""),0,1)</f>
        <v>1</v>
      </c>
      <c r="T12" s="11">
        <f>IF(OR(E16="",G16=""),0,1)</f>
        <v>1</v>
      </c>
      <c r="U12" s="11">
        <f>IF(OR(E20="",G20=""),0,1)</f>
        <v>1</v>
      </c>
    </row>
    <row r="13" spans="1:21" ht="12.75">
      <c r="A13" s="18">
        <f>Spielplan!$B24</f>
        <v>11</v>
      </c>
      <c r="B13" s="18" t="str">
        <f>Spielplan!$E24</f>
        <v>Tisch 2 C4</v>
      </c>
      <c r="C13" s="19" t="s">
        <v>13</v>
      </c>
      <c r="D13" s="20" t="str">
        <f>Spielplan!$G24</f>
        <v>Tisch 2 C1</v>
      </c>
      <c r="E13" s="15">
        <f>IF(Spielplan!$H24="","",Spielplan!$H24)</f>
        <v>1</v>
      </c>
      <c r="F13" s="15" t="s">
        <v>14</v>
      </c>
      <c r="G13" s="15">
        <f>IF(Spielplan!$J24="","",Spielplan!$J24)</f>
        <v>1</v>
      </c>
      <c r="H13" s="73">
        <f t="shared" si="0"/>
        <v>1</v>
      </c>
      <c r="I13" s="73">
        <f t="shared" si="1"/>
        <v>1</v>
      </c>
      <c r="K13" s="71" t="str">
        <f>Vorgaben!A12</f>
        <v>Tisch 2 B4</v>
      </c>
      <c r="L13" s="19">
        <f>SUM(S13:U13)</f>
        <v>3</v>
      </c>
      <c r="M13" s="19">
        <f>SUM(I8,H12,I24)</f>
        <v>3</v>
      </c>
      <c r="N13" s="15">
        <f>SUM(G8,E12,G24)</f>
        <v>3</v>
      </c>
      <c r="O13" s="15" t="s">
        <v>14</v>
      </c>
      <c r="P13" s="15">
        <f>SUM(E8,G12,E24)</f>
        <v>3</v>
      </c>
      <c r="Q13" s="15">
        <f>N13-P13</f>
        <v>0</v>
      </c>
      <c r="S13" s="11">
        <f>IF(OR(E8="",G8=""),0,1)</f>
        <v>1</v>
      </c>
      <c r="T13" s="11">
        <f>IF(OR(E12="",G12=""),0,1)</f>
        <v>1</v>
      </c>
      <c r="U13" s="11">
        <f>IF(OR(E24="",G24=""),0,1)</f>
        <v>1</v>
      </c>
    </row>
    <row r="14" spans="1:17" ht="15.75" customHeight="1">
      <c r="A14" s="18">
        <f>Spielplan!$B25</f>
        <v>12</v>
      </c>
      <c r="B14" s="18" t="str">
        <f>Spielplan!$E25</f>
        <v>Tisch 4 D4</v>
      </c>
      <c r="C14" s="19" t="s">
        <v>13</v>
      </c>
      <c r="D14" s="20" t="str">
        <f>Spielplan!$G25</f>
        <v>Tisch 4 D1</v>
      </c>
      <c r="E14" s="15">
        <f>IF(Spielplan!$H25="","",Spielplan!$H25)</f>
        <v>1</v>
      </c>
      <c r="F14" s="15" t="s">
        <v>14</v>
      </c>
      <c r="G14" s="15">
        <f>IF(Spielplan!$J25="","",Spielplan!$J25)</f>
        <v>1</v>
      </c>
      <c r="H14" s="73">
        <f t="shared" si="0"/>
        <v>1</v>
      </c>
      <c r="I14" s="73">
        <f t="shared" si="1"/>
        <v>1</v>
      </c>
      <c r="K14" s="13"/>
      <c r="L14" s="19"/>
      <c r="M14" s="19"/>
      <c r="N14" s="15"/>
      <c r="O14" s="15"/>
      <c r="P14" s="15"/>
      <c r="Q14" s="15"/>
    </row>
    <row r="15" spans="1:23" ht="12.75" customHeight="1">
      <c r="A15" s="18">
        <f>Spielplan!$B26</f>
        <v>13</v>
      </c>
      <c r="B15" s="18" t="str">
        <f>Spielplan!$E26</f>
        <v>Tisch 1 A2</v>
      </c>
      <c r="C15" s="19" t="s">
        <v>13</v>
      </c>
      <c r="D15" s="20" t="str">
        <f>Spielplan!$G26</f>
        <v>Tisch 1 A3</v>
      </c>
      <c r="E15" s="15">
        <f>IF(Spielplan!$H26="","",Spielplan!$H26)</f>
        <v>1</v>
      </c>
      <c r="F15" s="15" t="s">
        <v>14</v>
      </c>
      <c r="G15" s="15">
        <f>IF(Spielplan!$J26="","",Spielplan!$J26)</f>
        <v>1</v>
      </c>
      <c r="H15" s="73">
        <f t="shared" si="0"/>
        <v>1</v>
      </c>
      <c r="I15" s="73">
        <f t="shared" si="1"/>
        <v>1</v>
      </c>
      <c r="K15" s="263" t="s">
        <v>3</v>
      </c>
      <c r="L15" s="263" t="s">
        <v>28</v>
      </c>
      <c r="M15" s="263" t="s">
        <v>1</v>
      </c>
      <c r="N15" s="263" t="s">
        <v>2</v>
      </c>
      <c r="O15" s="263"/>
      <c r="P15" s="263"/>
      <c r="Q15" s="263" t="s">
        <v>29</v>
      </c>
      <c r="V15" s="22"/>
      <c r="W15" s="22"/>
    </row>
    <row r="16" spans="1:23" ht="12.75" customHeight="1">
      <c r="A16" s="18">
        <f>Spielplan!$B27</f>
        <v>14</v>
      </c>
      <c r="B16" s="18" t="str">
        <f>Spielplan!$E27</f>
        <v>Tisch 2 B2</v>
      </c>
      <c r="C16" s="19" t="s">
        <v>13</v>
      </c>
      <c r="D16" s="20" t="str">
        <f>Spielplan!$G27</f>
        <v>Tisch 2 B3</v>
      </c>
      <c r="E16" s="15">
        <f>IF(Spielplan!$H27="","",Spielplan!$H27)</f>
        <v>1</v>
      </c>
      <c r="F16" s="15" t="s">
        <v>14</v>
      </c>
      <c r="G16" s="15">
        <f>IF(Spielplan!$J27="","",Spielplan!$J27)</f>
        <v>1</v>
      </c>
      <c r="H16" s="73">
        <f t="shared" si="0"/>
        <v>1</v>
      </c>
      <c r="I16" s="73">
        <f t="shared" si="1"/>
        <v>1</v>
      </c>
      <c r="K16" s="263"/>
      <c r="L16" s="263"/>
      <c r="M16" s="263"/>
      <c r="N16" s="263"/>
      <c r="O16" s="263"/>
      <c r="P16" s="263"/>
      <c r="Q16" s="263"/>
      <c r="V16" s="22"/>
      <c r="W16" s="22"/>
    </row>
    <row r="17" spans="1:23" ht="15.75" customHeight="1">
      <c r="A17" s="18">
        <f>Spielplan!$B28</f>
        <v>15</v>
      </c>
      <c r="B17" s="18" t="str">
        <f>Spielplan!$E28</f>
        <v>Tisch 2 C2</v>
      </c>
      <c r="C17" s="19" t="s">
        <v>13</v>
      </c>
      <c r="D17" s="20" t="str">
        <f>Spielplan!$G28</f>
        <v>Tisch 2 C3</v>
      </c>
      <c r="E17" s="15">
        <f>IF(Spielplan!$H28="","",Spielplan!$H28)</f>
        <v>1</v>
      </c>
      <c r="F17" s="15" t="s">
        <v>14</v>
      </c>
      <c r="G17" s="15">
        <f>IF(Spielplan!$J28="","",Spielplan!$J28)</f>
        <v>1</v>
      </c>
      <c r="H17" s="73">
        <f t="shared" si="0"/>
        <v>1</v>
      </c>
      <c r="I17" s="73">
        <f t="shared" si="1"/>
        <v>1</v>
      </c>
      <c r="K17" s="3" t="str">
        <f>Vorgaben!B2</f>
        <v>Tisch 2 C1</v>
      </c>
      <c r="L17" s="19">
        <f>SUM(S17:U17)</f>
        <v>3</v>
      </c>
      <c r="M17" s="19">
        <f>SUM(H5,I13,H21)</f>
        <v>3</v>
      </c>
      <c r="N17" s="15">
        <f>SUM(E5,G13,E21)</f>
        <v>3</v>
      </c>
      <c r="O17" s="15" t="s">
        <v>14</v>
      </c>
      <c r="P17" s="15">
        <f>SUM(G5,E13,G21)</f>
        <v>3</v>
      </c>
      <c r="Q17" s="15">
        <f>N17-P17</f>
        <v>0</v>
      </c>
      <c r="R17" s="23"/>
      <c r="S17" s="11">
        <f>IF(OR(E5="",G5=""),0,1)</f>
        <v>1</v>
      </c>
      <c r="T17" s="11">
        <f>IF(OR(E13="",G13=""),0,1)</f>
        <v>1</v>
      </c>
      <c r="U17" s="11">
        <f>IF(OR(E21="",G21=""),0,1)</f>
        <v>1</v>
      </c>
      <c r="V17" s="24"/>
      <c r="W17" s="24"/>
    </row>
    <row r="18" spans="1:23" ht="12.75">
      <c r="A18" s="18">
        <f>Spielplan!$B29</f>
        <v>16</v>
      </c>
      <c r="B18" s="18" t="str">
        <f>Spielplan!$E29</f>
        <v>Tisch 4 D2</v>
      </c>
      <c r="C18" s="19" t="s">
        <v>13</v>
      </c>
      <c r="D18" s="20" t="str">
        <f>Spielplan!$G29</f>
        <v>Tisch 4 D3</v>
      </c>
      <c r="E18" s="15">
        <f>IF(Spielplan!$H29="","",Spielplan!$H29)</f>
        <v>1</v>
      </c>
      <c r="F18" s="15" t="s">
        <v>14</v>
      </c>
      <c r="G18" s="15">
        <f>IF(Spielplan!$J29="","",Spielplan!$J29)</f>
        <v>1</v>
      </c>
      <c r="H18" s="73">
        <f t="shared" si="0"/>
        <v>1</v>
      </c>
      <c r="I18" s="73">
        <f t="shared" si="1"/>
        <v>1</v>
      </c>
      <c r="K18" s="71" t="str">
        <f>Vorgaben!B3</f>
        <v>Tisch 2 C2</v>
      </c>
      <c r="L18" s="19">
        <f>SUM(S18:U18)</f>
        <v>3</v>
      </c>
      <c r="M18" s="19">
        <f>SUM(I5,H17,H25)</f>
        <v>3</v>
      </c>
      <c r="N18" s="15">
        <f>SUM(G5,E17,E25)</f>
        <v>3</v>
      </c>
      <c r="O18" s="15" t="s">
        <v>14</v>
      </c>
      <c r="P18" s="15">
        <f>SUM(E5,G17,G25)</f>
        <v>3</v>
      </c>
      <c r="Q18" s="15">
        <f>N18-P18</f>
        <v>0</v>
      </c>
      <c r="R18" s="25"/>
      <c r="S18" s="11">
        <f>IF(OR(E5="",G5=""),0,1)</f>
        <v>1</v>
      </c>
      <c r="T18" s="11">
        <f>IF(OR(E17="",G17=""),0,1)</f>
        <v>1</v>
      </c>
      <c r="U18" s="11">
        <f>IF(OR(E25="",G25=""),0,1)</f>
        <v>1</v>
      </c>
      <c r="V18" s="25"/>
      <c r="W18" s="25"/>
    </row>
    <row r="19" spans="1:21" ht="12.75">
      <c r="A19" s="18">
        <f>Spielplan!$B30</f>
        <v>17</v>
      </c>
      <c r="B19" s="18" t="str">
        <f>Spielplan!$E30</f>
        <v>Tisch 1 A1</v>
      </c>
      <c r="C19" s="19" t="s">
        <v>13</v>
      </c>
      <c r="D19" s="20" t="str">
        <f>Spielplan!$G30</f>
        <v>Tisch 1 A3</v>
      </c>
      <c r="E19" s="15">
        <f>IF(Spielplan!$H30="","",Spielplan!$H30)</f>
        <v>1</v>
      </c>
      <c r="F19" s="15" t="s">
        <v>14</v>
      </c>
      <c r="G19" s="15">
        <f>IF(Spielplan!$J30="","",Spielplan!$J30)</f>
        <v>1</v>
      </c>
      <c r="H19" s="73">
        <f t="shared" si="0"/>
        <v>1</v>
      </c>
      <c r="I19" s="73">
        <f t="shared" si="1"/>
        <v>1</v>
      </c>
      <c r="K19" s="71" t="str">
        <f>Vorgaben!B4</f>
        <v>Tisch 2 C3</v>
      </c>
      <c r="L19" s="19">
        <f>SUM(S19:U19)</f>
        <v>3</v>
      </c>
      <c r="M19" s="19">
        <f>SUM(H9,I17,I21)</f>
        <v>3</v>
      </c>
      <c r="N19" s="15">
        <f>SUM(E9,G17,G21)</f>
        <v>3</v>
      </c>
      <c r="O19" s="15" t="s">
        <v>14</v>
      </c>
      <c r="P19" s="15">
        <f>SUM(G9,E17,E21)</f>
        <v>3</v>
      </c>
      <c r="Q19" s="15">
        <f>N19-P19</f>
        <v>0</v>
      </c>
      <c r="S19" s="11">
        <f>IF(OR(E9="",G9=""),0,1)</f>
        <v>1</v>
      </c>
      <c r="T19" s="11">
        <f>IF(OR(E17="",G17=""),0,1)</f>
        <v>1</v>
      </c>
      <c r="U19" s="11">
        <f>IF(OR(E21="",G21=""),0,1)</f>
        <v>1</v>
      </c>
    </row>
    <row r="20" spans="1:21" ht="12.75">
      <c r="A20" s="18">
        <f>Spielplan!$B31</f>
        <v>18</v>
      </c>
      <c r="B20" s="18" t="str">
        <f>Spielplan!$E31</f>
        <v>Tisch 2 B1</v>
      </c>
      <c r="C20" s="19" t="s">
        <v>13</v>
      </c>
      <c r="D20" s="20" t="str">
        <f>Spielplan!$G31</f>
        <v>Tisch 2 B3</v>
      </c>
      <c r="E20" s="15">
        <f>IF(Spielplan!$H31="","",Spielplan!$H31)</f>
        <v>1</v>
      </c>
      <c r="F20" s="15" t="s">
        <v>14</v>
      </c>
      <c r="G20" s="15">
        <f>IF(Spielplan!$J31="","",Spielplan!$J31)</f>
        <v>1</v>
      </c>
      <c r="H20" s="73">
        <f t="shared" si="0"/>
        <v>1</v>
      </c>
      <c r="I20" s="73">
        <f t="shared" si="1"/>
        <v>1</v>
      </c>
      <c r="K20" s="71" t="str">
        <f>Vorgaben!B5</f>
        <v>Tisch 2 C4</v>
      </c>
      <c r="L20" s="19">
        <f>SUM(S20:U20)</f>
        <v>3</v>
      </c>
      <c r="M20" s="19">
        <f>SUM(I9,I25,H13)</f>
        <v>3</v>
      </c>
      <c r="N20" s="15">
        <f>SUM(G9,G25,E13)</f>
        <v>3</v>
      </c>
      <c r="O20" s="15" t="s">
        <v>14</v>
      </c>
      <c r="P20" s="15">
        <f>SUM(E9,E25,G13)</f>
        <v>3</v>
      </c>
      <c r="Q20" s="15">
        <f>N20-P20</f>
        <v>0</v>
      </c>
      <c r="S20" s="11">
        <f>IF(OR(E9="",G9=""),0,1)</f>
        <v>1</v>
      </c>
      <c r="T20" s="11">
        <f>IF(OR(E13="",G13=""),0,1)</f>
        <v>1</v>
      </c>
      <c r="U20" s="11">
        <f>IF(OR(E25="",G25=""),0,1)</f>
        <v>1</v>
      </c>
    </row>
    <row r="21" spans="1:17" ht="12.75">
      <c r="A21" s="18">
        <f>Spielplan!$B32</f>
        <v>19</v>
      </c>
      <c r="B21" s="18" t="str">
        <f>Spielplan!$E32</f>
        <v>Tisch 2 C1</v>
      </c>
      <c r="C21" s="19" t="s">
        <v>13</v>
      </c>
      <c r="D21" s="20" t="str">
        <f>Spielplan!$G32</f>
        <v>Tisch 2 C3</v>
      </c>
      <c r="E21" s="15">
        <f>IF(Spielplan!$H32="","",Spielplan!$H32)</f>
        <v>1</v>
      </c>
      <c r="F21" s="15" t="s">
        <v>14</v>
      </c>
      <c r="G21" s="15">
        <f>IF(Spielplan!$J32="","",Spielplan!$J32)</f>
        <v>1</v>
      </c>
      <c r="H21" s="73">
        <f t="shared" si="0"/>
        <v>1</v>
      </c>
      <c r="I21" s="73">
        <f t="shared" si="1"/>
        <v>1</v>
      </c>
      <c r="K21" s="13"/>
      <c r="L21" s="19"/>
      <c r="M21" s="19"/>
      <c r="N21" s="15"/>
      <c r="O21" s="15"/>
      <c r="P21" s="15"/>
      <c r="Q21" s="15"/>
    </row>
    <row r="22" spans="1:23" ht="12.75">
      <c r="A22" s="18">
        <f>Spielplan!$B33</f>
        <v>20</v>
      </c>
      <c r="B22" s="18" t="str">
        <f>Spielplan!$E33</f>
        <v>Tisch 4 D1</v>
      </c>
      <c r="C22" s="19" t="s">
        <v>13</v>
      </c>
      <c r="D22" s="20" t="str">
        <f>Spielplan!$G33</f>
        <v>Tisch 4 D3</v>
      </c>
      <c r="E22" s="15">
        <f>IF(Spielplan!$H33="","",Spielplan!$H33)</f>
        <v>1</v>
      </c>
      <c r="F22" s="15" t="s">
        <v>14</v>
      </c>
      <c r="G22" s="15">
        <f>IF(Spielplan!$J33="","",Spielplan!$J33)</f>
        <v>1</v>
      </c>
      <c r="H22" s="73">
        <f t="shared" si="0"/>
        <v>1</v>
      </c>
      <c r="I22" s="73">
        <f t="shared" si="1"/>
        <v>1</v>
      </c>
      <c r="K22" s="263" t="s">
        <v>7</v>
      </c>
      <c r="L22" s="263" t="s">
        <v>28</v>
      </c>
      <c r="M22" s="263" t="s">
        <v>1</v>
      </c>
      <c r="N22" s="263" t="s">
        <v>2</v>
      </c>
      <c r="O22" s="263"/>
      <c r="P22" s="263"/>
      <c r="Q22" s="263" t="s">
        <v>29</v>
      </c>
      <c r="V22" s="22"/>
      <c r="W22" s="22"/>
    </row>
    <row r="23" spans="1:23" ht="12.75">
      <c r="A23" s="18">
        <f>Spielplan!$B34</f>
        <v>21</v>
      </c>
      <c r="B23" s="18" t="str">
        <f>Spielplan!$E34</f>
        <v>Tisch 1 A2</v>
      </c>
      <c r="C23" s="19" t="s">
        <v>13</v>
      </c>
      <c r="D23" s="20" t="str">
        <f>Spielplan!$G34</f>
        <v>Tisch 1 A4</v>
      </c>
      <c r="E23" s="15">
        <f>IF(Spielplan!$H34="","",Spielplan!$H34)</f>
        <v>1</v>
      </c>
      <c r="F23" s="15" t="s">
        <v>14</v>
      </c>
      <c r="G23" s="15">
        <f>IF(Spielplan!$J34="","",Spielplan!$J34)</f>
        <v>1</v>
      </c>
      <c r="H23" s="73">
        <f>IF(OR($E23="",$G23=""),"",IF(E23&gt;G23,3,IF(E23=G23,1,0)))</f>
        <v>1</v>
      </c>
      <c r="I23" s="73">
        <f>IF(OR($E23="",$G23=""),"",IF(G23&gt;E23,3,IF(E23=G23,1,0)))</f>
        <v>1</v>
      </c>
      <c r="K23" s="263"/>
      <c r="L23" s="263"/>
      <c r="M23" s="263"/>
      <c r="N23" s="263"/>
      <c r="O23" s="263"/>
      <c r="P23" s="263"/>
      <c r="Q23" s="263"/>
      <c r="V23" s="22"/>
      <c r="W23" s="22"/>
    </row>
    <row r="24" spans="1:23" ht="12.75">
      <c r="A24" s="18">
        <f>Spielplan!$B35</f>
        <v>22</v>
      </c>
      <c r="B24" s="18" t="str">
        <f>Spielplan!$E35</f>
        <v>Tisch 2 B2</v>
      </c>
      <c r="C24" s="19" t="s">
        <v>13</v>
      </c>
      <c r="D24" s="20" t="str">
        <f>Spielplan!$G35</f>
        <v>Tisch 2 B4</v>
      </c>
      <c r="E24" s="15">
        <f>IF(Spielplan!$H35="","",Spielplan!$H35)</f>
        <v>1</v>
      </c>
      <c r="F24" s="15" t="s">
        <v>14</v>
      </c>
      <c r="G24" s="15">
        <f>IF(Spielplan!$J35="","",Spielplan!$J35)</f>
        <v>1</v>
      </c>
      <c r="H24" s="73">
        <f>IF(OR($E24="",$G24=""),"",IF(E24&gt;G24,3,IF(E24=G24,1,0)))</f>
        <v>1</v>
      </c>
      <c r="I24" s="73">
        <f>IF(OR($E24="",$G24=""),"",IF(G24&gt;E24,3,IF(E24=G24,1,0)))</f>
        <v>1</v>
      </c>
      <c r="K24" s="71" t="str">
        <f>Vorgaben!B9</f>
        <v>Tisch 4 D1</v>
      </c>
      <c r="L24" s="19">
        <f>SUM(S24:U24)</f>
        <v>3</v>
      </c>
      <c r="M24" s="19">
        <f>SUM(H6,I14,H22)</f>
        <v>3</v>
      </c>
      <c r="N24" s="15">
        <f>SUM(G14,E22,E6)</f>
        <v>3</v>
      </c>
      <c r="O24" s="15" t="s">
        <v>14</v>
      </c>
      <c r="P24" s="15">
        <f>SUM(G6,E14,G22)</f>
        <v>3</v>
      </c>
      <c r="Q24" s="15">
        <f>N24-P24</f>
        <v>0</v>
      </c>
      <c r="R24" s="23"/>
      <c r="S24" s="11">
        <f>IF(OR(E6="",G6=""),0,1)</f>
        <v>1</v>
      </c>
      <c r="T24" s="11">
        <f>IF(OR(E14="",G14=""),0,1)</f>
        <v>1</v>
      </c>
      <c r="U24" s="11">
        <f>IF(OR(E22="",G22=""),0,1)</f>
        <v>1</v>
      </c>
      <c r="V24" s="24"/>
      <c r="W24" s="24"/>
    </row>
    <row r="25" spans="1:23" ht="12.75">
      <c r="A25" s="18">
        <f>Spielplan!$B36</f>
        <v>23</v>
      </c>
      <c r="B25" s="18" t="str">
        <f>Spielplan!$E36</f>
        <v>Tisch 2 C2</v>
      </c>
      <c r="C25" s="19" t="s">
        <v>13</v>
      </c>
      <c r="D25" s="20" t="str">
        <f>Spielplan!$G36</f>
        <v>Tisch 2 C4</v>
      </c>
      <c r="E25" s="15">
        <f>IF(Spielplan!$H36="","",Spielplan!$H36)</f>
        <v>1</v>
      </c>
      <c r="F25" s="15" t="s">
        <v>14</v>
      </c>
      <c r="G25" s="15">
        <f>IF(Spielplan!$J36="","",Spielplan!$J36)</f>
        <v>1</v>
      </c>
      <c r="H25" s="73">
        <f>IF(OR($E25="",$G25=""),"",IF(E25&gt;G25,3,IF(E25=G25,1,0)))</f>
        <v>1</v>
      </c>
      <c r="I25" s="73">
        <f>IF(OR($E25="",$G25=""),"",IF(G25&gt;E25,3,IF(E25=G25,1,0)))</f>
        <v>1</v>
      </c>
      <c r="K25" s="71" t="str">
        <f>Vorgaben!B10</f>
        <v>Tisch 4 D2</v>
      </c>
      <c r="L25" s="19">
        <f>SUM(S25:U25)</f>
        <v>3</v>
      </c>
      <c r="M25" s="19">
        <f>SUM(I6,H18,H26)</f>
        <v>3</v>
      </c>
      <c r="N25" s="15">
        <f>SUM(G6,E18,E26)</f>
        <v>3</v>
      </c>
      <c r="O25" s="15" t="s">
        <v>14</v>
      </c>
      <c r="P25" s="15">
        <f>SUM(E6,G18,G26)</f>
        <v>3</v>
      </c>
      <c r="Q25" s="15">
        <f>N25-P25</f>
        <v>0</v>
      </c>
      <c r="R25" s="25"/>
      <c r="S25" s="11">
        <f>IF(OR(E6="",G6=""),0,1)</f>
        <v>1</v>
      </c>
      <c r="T25" s="11">
        <f>IF(OR(E18="",G18=""),0,1)</f>
        <v>1</v>
      </c>
      <c r="U25" s="11">
        <f>IF(OR(E26="",G26=""),0,1)</f>
        <v>1</v>
      </c>
      <c r="V25" s="25"/>
      <c r="W25" s="25"/>
    </row>
    <row r="26" spans="1:21" ht="12.75">
      <c r="A26" s="18">
        <f>Spielplan!$B37</f>
        <v>24</v>
      </c>
      <c r="B26" s="18" t="str">
        <f>Spielplan!$E37</f>
        <v>Tisch 4 D2</v>
      </c>
      <c r="C26" s="19" t="s">
        <v>13</v>
      </c>
      <c r="D26" s="20" t="str">
        <f>Spielplan!$G37</f>
        <v>Tisch 4 D4</v>
      </c>
      <c r="E26" s="15">
        <f>IF(Spielplan!$H37="","",Spielplan!$H37)</f>
        <v>1</v>
      </c>
      <c r="F26" s="15" t="s">
        <v>14</v>
      </c>
      <c r="G26" s="15">
        <f>IF(Spielplan!$J37="","",Spielplan!$J37)</f>
        <v>1</v>
      </c>
      <c r="H26" s="73">
        <f>IF(OR($E26="",$G26=""),"",IF(E26&gt;G26,3,IF(E26=G26,1,0)))</f>
        <v>1</v>
      </c>
      <c r="I26" s="73">
        <f>IF(OR($E26="",$G26=""),"",IF(G26&gt;E26,3,IF(E26=G26,1,0)))</f>
        <v>1</v>
      </c>
      <c r="J26" s="26"/>
      <c r="K26" s="71" t="str">
        <f>Vorgaben!B11</f>
        <v>Tisch 4 D3</v>
      </c>
      <c r="L26" s="19">
        <f>SUM(S26:U26)</f>
        <v>3</v>
      </c>
      <c r="M26" s="19">
        <f>SUM(H10,I18,I22)</f>
        <v>3</v>
      </c>
      <c r="N26" s="15">
        <f>SUM(E10,G18,G22)</f>
        <v>3</v>
      </c>
      <c r="O26" s="15" t="s">
        <v>14</v>
      </c>
      <c r="P26" s="15">
        <f>SUM(G10,E18,E22)</f>
        <v>3</v>
      </c>
      <c r="Q26" s="15">
        <f>N26-P26</f>
        <v>0</v>
      </c>
      <c r="S26" s="11">
        <f>IF(OR(E10="",G10=""),0,1)</f>
        <v>1</v>
      </c>
      <c r="T26" s="11">
        <f>IF(OR(E18="",G18=""),0,1)</f>
        <v>1</v>
      </c>
      <c r="U26" s="11">
        <f>IF(OR(E22="",G22=""),0,1)</f>
        <v>1</v>
      </c>
    </row>
    <row r="27" spans="1:21" ht="12.75">
      <c r="A27" s="18"/>
      <c r="B27" s="18"/>
      <c r="C27" s="19"/>
      <c r="D27" s="20"/>
      <c r="E27" s="15"/>
      <c r="F27" s="15"/>
      <c r="G27" s="15"/>
      <c r="K27" s="71" t="str">
        <f>Vorgaben!B12</f>
        <v>Tisch 4 D4</v>
      </c>
      <c r="L27" s="19">
        <f>SUM(S27:U27)</f>
        <v>3</v>
      </c>
      <c r="M27" s="19">
        <f>SUM(I10,I26,H14)</f>
        <v>3</v>
      </c>
      <c r="N27" s="15">
        <f>SUM(G10,E14,G26)</f>
        <v>3</v>
      </c>
      <c r="O27" s="15" t="s">
        <v>14</v>
      </c>
      <c r="P27" s="15">
        <f>SUM(E10,G14,E26)</f>
        <v>3</v>
      </c>
      <c r="Q27" s="15">
        <f>N27-P27</f>
        <v>0</v>
      </c>
      <c r="S27" s="11">
        <f>IF(OR(E10="",G10=""),0,1)</f>
        <v>1</v>
      </c>
      <c r="T27" s="11">
        <f>IF(OR(E14="",G14=""),0,1)</f>
        <v>1</v>
      </c>
      <c r="U27" s="11">
        <f>IF(OR(E26="",G26=""),0,1)</f>
        <v>1</v>
      </c>
    </row>
  </sheetData>
  <sheetProtection/>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
  <cp:lastModifiedBy>Wickenhäuser, Eugen</cp:lastModifiedBy>
  <cp:lastPrinted>2017-03-10T07:40:12Z</cp:lastPrinted>
  <dcterms:created xsi:type="dcterms:W3CDTF">1999-01-27T19:57:19Z</dcterms:created>
  <dcterms:modified xsi:type="dcterms:W3CDTF">2017-03-10T08:35:41Z</dcterms:modified>
  <cp:category/>
  <cp:version/>
  <cp:contentType/>
  <cp:contentStatus/>
</cp:coreProperties>
</file>