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xWindow="240" yWindow="120" windowWidth="9120" windowHeight="4440" activeTab="5"/>
  </bookViews>
  <sheets>
    <sheet name="Info" sheetId="1" r:id="rId1"/>
    <sheet name="Hauptmenue" sheetId="2" r:id="rId2"/>
    <sheet name="Vorgaben" sheetId="3" r:id="rId3"/>
    <sheet name="Spielplan" sheetId="4" r:id="rId4"/>
    <sheet name="Tabellen-original" sheetId="5" state="hidden" r:id="rId5"/>
    <sheet name="Gruppen-Tabellen" sheetId="6" r:id="rId6"/>
    <sheet name="Rechnen" sheetId="7" state="hidden" r:id="rId7"/>
  </sheets>
  <definedNames>
    <definedName name="_xlnm.Print_Area" localSheetId="5">'Gruppen-Tabellen'!$A$1:$I$22</definedName>
    <definedName name="_xlnm.Print_Area" localSheetId="4">'Tabellen-original'!$A$1:$I$22</definedName>
    <definedName name="_xlnm.Print_Area" localSheetId="2">'Vorgaben'!$A$1:$B$14</definedName>
    <definedName name="_xlnm.Print_Titles" localSheetId="3">'Spielplan'!$10:$11</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<sst xmlns="http://schemas.openxmlformats.org/spreadsheetml/2006/main" count="507" uniqueCount="86">
  <si>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</si>
  <si>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</si>
  <si>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</si>
  <si>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</si>
  <si>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</si>
  <si>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</si>
  <si>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</si>
  <si>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</si>
  <si>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</si>
  <si>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</si>
  <si>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</si>
  <si>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</si>
  <si>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</si>
  <si>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</si>
  <si>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</si>
  <si>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</si>
  <si>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</si>
  <si>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</si>
  <si>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</si>
  <si>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</si>
  <si>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</si>
  <si>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</si>
  <si>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</si>
  <si>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</si>
  <si>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</si>
  <si>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</si>
  <si>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</si>
  <si>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</si>
  <si>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Gruppe AK I</t>
  </si>
  <si>
    <t>AK I</t>
  </si>
  <si>
    <t>Damen</t>
  </si>
  <si>
    <t>Platz</t>
  </si>
  <si>
    <t>Tabelle             AK I</t>
  </si>
  <si>
    <r>
      <t>Tabelle</t>
    </r>
    <r>
      <rPr>
        <b/>
        <i/>
        <sz val="14"/>
        <rFont val="Arial"/>
        <family val="2"/>
      </rPr>
      <t xml:space="preserve">             </t>
    </r>
    <r>
      <rPr>
        <b/>
        <i/>
        <sz val="18"/>
        <rFont val="Arial"/>
        <family val="2"/>
      </rPr>
      <t>Damen</t>
    </r>
  </si>
  <si>
    <t>Summe aller Spiele Gruppe Damen</t>
  </si>
  <si>
    <t>4. Spiel</t>
  </si>
  <si>
    <t>5. Spiel</t>
  </si>
  <si>
    <t>6. Spiel</t>
  </si>
  <si>
    <t>7. Spiel</t>
  </si>
  <si>
    <t>Kampfkarnickel</t>
  </si>
  <si>
    <t>Minis Mühlhausen/Rettigheim</t>
  </si>
  <si>
    <t>Spielpaarungen</t>
  </si>
  <si>
    <t>KJG Burner</t>
  </si>
  <si>
    <t>KJG Brühl</t>
  </si>
  <si>
    <t>Spielzeit: 8:00 Min.</t>
  </si>
  <si>
    <t>Anschließend Siegerehrung</t>
  </si>
  <si>
    <t>Mondspritzer Nußloch</t>
  </si>
  <si>
    <t>Gruppe A</t>
  </si>
  <si>
    <t>Gruppe B</t>
  </si>
  <si>
    <t>Gruppe   A</t>
  </si>
  <si>
    <t>Gruppe   B</t>
  </si>
  <si>
    <t>Inter Heiland</t>
  </si>
  <si>
    <t>Natural Born Kickers</t>
  </si>
  <si>
    <t>Minis Rot</t>
  </si>
  <si>
    <t>Minis Hl. Kreuz</t>
  </si>
  <si>
    <t>Himmelsstürmer</t>
  </si>
  <si>
    <t xml:space="preserve">Minis Plankstadt </t>
  </si>
  <si>
    <t>KJG Wiesloch</t>
  </si>
  <si>
    <t>FC Teufelskicker Engelhausen</t>
  </si>
  <si>
    <t>Miniators</t>
  </si>
  <si>
    <t>Minis St. Nikolaus</t>
  </si>
  <si>
    <t>St. Peter's Russelbande</t>
  </si>
  <si>
    <r>
      <t>Tabelle</t>
    </r>
    <r>
      <rPr>
        <b/>
        <i/>
        <sz val="14"/>
        <rFont val="Arial"/>
        <family val="2"/>
      </rPr>
      <t xml:space="preserve">             </t>
    </r>
    <r>
      <rPr>
        <b/>
        <i/>
        <sz val="18"/>
        <rFont val="Arial"/>
        <family val="2"/>
      </rPr>
      <t>Gruppe B</t>
    </r>
  </si>
  <si>
    <t>Tabelle             Gruppe A</t>
  </si>
  <si>
    <t>A</t>
  </si>
  <si>
    <t>B</t>
  </si>
  <si>
    <t>Feld 1</t>
  </si>
  <si>
    <t>Feld 2</t>
  </si>
  <si>
    <t>Zweiter Gruppe A</t>
  </si>
  <si>
    <t>Zweiter Gruppe B</t>
  </si>
  <si>
    <t>Finale</t>
  </si>
  <si>
    <t>Erster Gruppe A</t>
  </si>
  <si>
    <t>Erster Gruppe B</t>
  </si>
  <si>
    <t>Platzierungen:</t>
  </si>
  <si>
    <t>1.</t>
  </si>
  <si>
    <t>2.</t>
  </si>
  <si>
    <t>3.</t>
  </si>
  <si>
    <t>4.</t>
  </si>
  <si>
    <t>1. Halbfinale</t>
  </si>
  <si>
    <t>2. Halbfinale</t>
  </si>
  <si>
    <t>Spiel um Platz 3</t>
  </si>
  <si>
    <t>(nach Vorrunde und nach Halbfinale)</t>
  </si>
  <si>
    <t>Verlierer Spiel 57</t>
  </si>
  <si>
    <t>Verlierer Spiel 58</t>
  </si>
  <si>
    <t>Sieger Spiel 57</t>
  </si>
  <si>
    <t>Sieger Spiel 58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</si>
</sst>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9">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26"/>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b/>
      <sz val="16"/>
      <color indexed="12"/>
      <name val="Arial"/>
      <family val="2"/>
    </font>
    <font>
      <b/>
      <i/>
      <sz val="18"/>
      <name val="Arial"/>
      <family val="2"/>
    </font>
    <font>
      <b/>
      <i/>
      <sz val="11"/>
      <name val="Arial"/>
      <family val="2"/>
    </font>
    <font>
      <b/>
      <sz val="12"/>
      <color indexed="10"/>
      <name val="Arial"/>
      <family val="2"/>
    </font>
    <font>
      <b/>
      <sz val="10"/>
      <color indexed="10"/>
      <name val="Arial"/>
      <family val="2"/>
    </font>
    <font>
      <b/>
      <sz val="7"/>
      <color indexed="28"/>
      <name val="Arial"/>
      <family val="2"/>
    </font>
    <font>
      <sz val="9"/>
      <name val="Arial"/>
      <family val="2"/>
    </font>
    <font>
      <b/>
      <sz val="10"/>
      <color indexed="12"/>
      <name val="Arial"/>
      <family val="2"/>
    </font>
    <font>
      <b/>
      <sz val="11"/>
      <color indexed="10"/>
      <name val="Arial"/>
      <family val="2"/>
    </font>
    <font>
      <sz val="6"/>
      <name val="Small Fonts"/>
      <family val="2"/>
    </font>
    <font>
      <sz val="8"/>
      <name val="Small Fonts"/>
      <family val="2"/>
    </font>
    <font>
      <b/>
      <sz val="12"/>
      <color indexed="12"/>
      <name val="Arial"/>
      <family val="2"/>
    </font>
    <font>
      <b/>
      <sz val="14"/>
      <color indexed="56"/>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14"/>
      <color indexed="12"/>
      <name val="Arial"/>
      <family val="2"/>
    </font>
    <font>
      <b/>
      <sz val="11"/>
      <color indexed="56"/>
      <name val="Arial"/>
      <family val="2"/>
    </font>
    <font>
      <b/>
      <sz val="11"/>
      <name val="Arial"/>
      <family val="2"/>
    </font>
    <font>
      <sz val="10"/>
      <color indexed="8"/>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1"/>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171" fontId="0" fillId="0" borderId="0" applyFont="0" applyFill="0" applyBorder="0" applyAlignment="0" applyProtection="0"/>
    <xf numFmtId="0" fontId="12" fillId="0" borderId="0" applyNumberFormat="0" applyFill="0" applyBorder="0" applyAlignment="0" applyProtection="0"/>
    <xf numFmtId="0" fontId="7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16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5" fillId="36" borderId="0" xfId="0" applyFont="1" applyFill="1" applyBorder="1" applyAlignment="1">
      <alignment horizontal="center" vertical="center"/>
    </xf>
    <xf numFmtId="0" fontId="0" fillId="36" borderId="0" xfId="0" applyFill="1" applyBorder="1" applyAlignment="1">
      <alignment/>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top"/>
      <protection/>
    </xf>
    <xf numFmtId="0" fontId="17" fillId="0" borderId="0" xfId="0" applyFont="1" applyFill="1" applyBorder="1" applyAlignment="1" applyProtection="1">
      <alignment horizontal="center"/>
      <protection locked="0"/>
    </xf>
    <xf numFmtId="0" fontId="17" fillId="0" borderId="0" xfId="0" applyFont="1" applyFill="1" applyBorder="1" applyAlignment="1" applyProtection="1">
      <alignment/>
      <protection locked="0"/>
    </xf>
    <xf numFmtId="0" fontId="17" fillId="0" borderId="10" xfId="0" applyFont="1" applyFill="1" applyBorder="1" applyAlignment="1" applyProtection="1">
      <alignment horizontal="center"/>
      <protection/>
    </xf>
    <xf numFmtId="0" fontId="17"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protection/>
    </xf>
    <xf numFmtId="0" fontId="19" fillId="0" borderId="0" xfId="0" applyFont="1" applyFill="1" applyBorder="1" applyAlignment="1" applyProtection="1">
      <alignment horizontal="right"/>
      <protection/>
    </xf>
    <xf numFmtId="0" fontId="17" fillId="0" borderId="0" xfId="0" applyFont="1" applyFill="1" applyBorder="1" applyAlignment="1" applyProtection="1">
      <alignment horizontal="center"/>
      <protection/>
    </xf>
    <xf numFmtId="0" fontId="17" fillId="0" borderId="0" xfId="0" applyFont="1" applyFill="1" applyBorder="1" applyAlignment="1" applyProtection="1">
      <alignment horizontal="centerContinuous"/>
      <protection/>
    </xf>
    <xf numFmtId="20" fontId="22" fillId="0" borderId="0" xfId="0" applyNumberFormat="1"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22"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0" fillId="33" borderId="0" xfId="0" applyFont="1" applyFill="1" applyAlignment="1" applyProtection="1">
      <alignment horizontal="center" vertical="center"/>
      <protection locked="0"/>
    </xf>
    <xf numFmtId="0" fontId="17" fillId="0" borderId="10" xfId="0" applyFont="1" applyFill="1" applyBorder="1" applyAlignment="1" applyProtection="1">
      <alignment horizontal="center" vertical="center"/>
      <protection/>
    </xf>
    <xf numFmtId="0" fontId="17"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0" fillId="33" borderId="0" xfId="0" applyFont="1" applyFill="1" applyAlignment="1" applyProtection="1">
      <alignment horizontal="center" vertical="center"/>
      <protection/>
    </xf>
    <xf numFmtId="0" fontId="21" fillId="33" borderId="10" xfId="0" applyFont="1" applyFill="1" applyBorder="1" applyAlignment="1" applyProtection="1">
      <alignment horizontal="right" vertical="center"/>
      <protection locked="0"/>
    </xf>
    <xf numFmtId="0" fontId="21" fillId="33" borderId="10" xfId="0" applyFont="1" applyFill="1" applyBorder="1" applyAlignment="1" applyProtection="1">
      <alignment horizontal="left" vertical="center"/>
      <protection locked="0"/>
    </xf>
    <xf numFmtId="0" fontId="21" fillId="33" borderId="0" xfId="0" applyFont="1" applyFill="1" applyAlignment="1" applyProtection="1">
      <alignment vertical="center"/>
      <protection/>
    </xf>
    <xf numFmtId="0" fontId="1" fillId="33" borderId="0" xfId="0" applyFont="1" applyFill="1" applyAlignment="1" applyProtection="1">
      <alignment horizontal="center" vertical="center" wrapText="1"/>
      <protection/>
    </xf>
    <xf numFmtId="0" fontId="0" fillId="34"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protection/>
    </xf>
    <xf numFmtId="0" fontId="13" fillId="33" borderId="13" xfId="0" applyFont="1" applyFill="1" applyBorder="1" applyAlignment="1" applyProtection="1">
      <alignment vertical="center"/>
      <protection/>
    </xf>
    <xf numFmtId="0" fontId="0" fillId="33" borderId="0" xfId="0" applyFont="1" applyFill="1" applyAlignment="1" applyProtection="1">
      <alignment/>
      <protection/>
    </xf>
    <xf numFmtId="0" fontId="13"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13"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36" fillId="33" borderId="0" xfId="0" applyFont="1" applyFill="1" applyAlignment="1" applyProtection="1">
      <alignment horizontal="center"/>
      <protection/>
    </xf>
    <xf numFmtId="0" fontId="0" fillId="33" borderId="0" xfId="0" applyFont="1" applyFill="1" applyAlignment="1" applyProtection="1">
      <alignment horizontal="center"/>
      <protection/>
    </xf>
    <xf numFmtId="173" fontId="0" fillId="33" borderId="0" xfId="0" applyNumberFormat="1" applyFont="1" applyFill="1" applyAlignment="1" applyProtection="1">
      <alignment horizontal="center"/>
      <protection/>
    </xf>
    <xf numFmtId="0" fontId="0" fillId="33" borderId="14" xfId="0" applyFont="1" applyFill="1" applyBorder="1" applyAlignment="1" applyProtection="1">
      <alignment horizontal="right"/>
      <protection locked="0"/>
    </xf>
    <xf numFmtId="0" fontId="0" fillId="33" borderId="14" xfId="0" applyFont="1" applyFill="1" applyBorder="1" applyAlignment="1" applyProtection="1">
      <alignment horizontal="left"/>
      <protection locked="0"/>
    </xf>
    <xf numFmtId="0" fontId="37" fillId="33" borderId="0" xfId="0" applyFont="1" applyFill="1" applyAlignment="1" applyProtection="1">
      <alignment horizontal="center"/>
      <protection/>
    </xf>
    <xf numFmtId="0" fontId="29" fillId="33" borderId="10" xfId="0" applyFont="1" applyFill="1" applyBorder="1" applyAlignment="1" applyProtection="1">
      <alignment horizontal="right" vertical="center"/>
      <protection/>
    </xf>
    <xf numFmtId="173" fontId="21" fillId="33" borderId="15" xfId="0" applyNumberFormat="1"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3" xfId="0" applyFont="1" applyFill="1" applyBorder="1" applyAlignment="1" applyProtection="1">
      <alignment horizontal="left" vertical="center"/>
      <protection/>
    </xf>
    <xf numFmtId="0" fontId="21" fillId="33" borderId="13" xfId="0" applyFont="1" applyFill="1" applyBorder="1" applyAlignment="1" applyProtection="1">
      <alignment horizontal="right" vertical="center"/>
      <protection/>
    </xf>
    <xf numFmtId="0" fontId="21" fillId="33" borderId="13" xfId="0" applyFont="1" applyFill="1" applyBorder="1" applyAlignment="1" applyProtection="1">
      <alignment horizontal="center" vertical="center"/>
      <protection/>
    </xf>
    <xf numFmtId="0" fontId="21" fillId="33" borderId="13" xfId="0" applyFont="1" applyFill="1" applyBorder="1" applyAlignment="1" applyProtection="1">
      <alignment horizontal="left" vertical="center"/>
      <protection/>
    </xf>
    <xf numFmtId="0" fontId="1" fillId="0" borderId="16" xfId="0" applyFont="1" applyFill="1" applyBorder="1" applyAlignment="1" applyProtection="1">
      <alignment horizontal="right"/>
      <protection/>
    </xf>
    <xf numFmtId="0" fontId="1" fillId="0" borderId="16" xfId="0" applyFont="1" applyFill="1" applyBorder="1" applyAlignment="1" applyProtection="1">
      <alignment horizontal="left"/>
      <protection/>
    </xf>
    <xf numFmtId="173" fontId="21" fillId="33" borderId="17"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Alignment="1">
      <alignment vertical="top"/>
    </xf>
    <xf numFmtId="0" fontId="0" fillId="0" borderId="0" xfId="53">
      <alignment/>
      <protection/>
    </xf>
    <xf numFmtId="173" fontId="21" fillId="33" borderId="18"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46" fillId="39" borderId="11" xfId="0" applyFont="1" applyFill="1" applyBorder="1" applyAlignment="1" applyProtection="1">
      <alignment horizontal="right"/>
      <protection locked="0"/>
    </xf>
    <xf numFmtId="0" fontId="46" fillId="39" borderId="11" xfId="0" applyFont="1" applyFill="1" applyBorder="1" applyAlignment="1" applyProtection="1">
      <alignment horizontal="left"/>
      <protection locked="0"/>
    </xf>
    <xf numFmtId="0" fontId="21"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Continuous" vertical="center" wrapText="1"/>
      <protection/>
    </xf>
    <xf numFmtId="173" fontId="21" fillId="33" borderId="19" xfId="0" applyNumberFormat="1"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13" fillId="33" borderId="16" xfId="0" applyFont="1" applyFill="1" applyBorder="1" applyAlignment="1" applyProtection="1">
      <alignment vertical="center"/>
      <protection/>
    </xf>
    <xf numFmtId="0" fontId="21" fillId="33" borderId="16" xfId="0" applyFont="1" applyFill="1" applyBorder="1" applyAlignment="1" applyProtection="1">
      <alignment horizontal="right" vertical="center"/>
      <protection/>
    </xf>
    <xf numFmtId="0" fontId="21" fillId="33" borderId="16" xfId="0" applyFont="1" applyFill="1" applyBorder="1" applyAlignment="1" applyProtection="1">
      <alignment horizontal="center" vertical="center"/>
      <protection/>
    </xf>
    <xf numFmtId="0" fontId="21" fillId="33" borderId="16" xfId="0" applyFont="1" applyFill="1" applyBorder="1" applyAlignment="1" applyProtection="1">
      <alignment horizontal="left" vertical="center"/>
      <protection/>
    </xf>
    <xf numFmtId="173" fontId="21" fillId="40" borderId="15" xfId="0" applyNumberFormat="1" applyFont="1" applyFill="1" applyBorder="1" applyAlignment="1" applyProtection="1">
      <alignment horizontal="center" vertical="center"/>
      <protection/>
    </xf>
    <xf numFmtId="0" fontId="0" fillId="40" borderId="13" xfId="0" applyFont="1" applyFill="1" applyBorder="1" applyAlignment="1" applyProtection="1">
      <alignment horizontal="center" vertical="center"/>
      <protection/>
    </xf>
    <xf numFmtId="0" fontId="0" fillId="40" borderId="13" xfId="0" applyFont="1" applyFill="1" applyBorder="1" applyAlignment="1" applyProtection="1">
      <alignment horizontal="left" vertical="center"/>
      <protection/>
    </xf>
    <xf numFmtId="0" fontId="13" fillId="40" borderId="13" xfId="0" applyFont="1" applyFill="1" applyBorder="1" applyAlignment="1" applyProtection="1">
      <alignment vertical="center"/>
      <protection/>
    </xf>
    <xf numFmtId="0" fontId="21" fillId="40" borderId="13" xfId="0" applyFont="1" applyFill="1" applyBorder="1" applyAlignment="1" applyProtection="1">
      <alignment horizontal="right" vertical="center"/>
      <protection/>
    </xf>
    <xf numFmtId="0" fontId="21" fillId="40" borderId="13" xfId="0" applyFont="1" applyFill="1" applyBorder="1" applyAlignment="1" applyProtection="1">
      <alignment horizontal="center" vertical="center"/>
      <protection/>
    </xf>
    <xf numFmtId="0" fontId="21" fillId="40" borderId="13" xfId="0" applyFont="1" applyFill="1" applyBorder="1" applyAlignment="1" applyProtection="1">
      <alignment horizontal="left" vertical="center"/>
      <protection/>
    </xf>
    <xf numFmtId="0" fontId="21" fillId="40" borderId="14" xfId="0" applyFont="1" applyFill="1" applyBorder="1" applyAlignment="1" applyProtection="1">
      <alignment horizontal="left" vertical="center"/>
      <protection locked="0"/>
    </xf>
    <xf numFmtId="173" fontId="21" fillId="40" borderId="19" xfId="0" applyNumberFormat="1"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6" xfId="0" applyFont="1" applyFill="1" applyBorder="1" applyAlignment="1" applyProtection="1">
      <alignment horizontal="left" vertical="center"/>
      <protection/>
    </xf>
    <xf numFmtId="0" fontId="13" fillId="40" borderId="16" xfId="0" applyFont="1" applyFill="1" applyBorder="1" applyAlignment="1" applyProtection="1">
      <alignment vertical="center"/>
      <protection/>
    </xf>
    <xf numFmtId="0" fontId="21" fillId="40" borderId="16" xfId="0" applyFont="1" applyFill="1" applyBorder="1" applyAlignment="1" applyProtection="1">
      <alignment horizontal="right" vertical="center"/>
      <protection/>
    </xf>
    <xf numFmtId="0" fontId="21" fillId="40" borderId="16" xfId="0" applyFont="1" applyFill="1" applyBorder="1" applyAlignment="1" applyProtection="1">
      <alignment horizontal="center" vertical="center"/>
      <protection/>
    </xf>
    <xf numFmtId="0" fontId="21" fillId="40" borderId="16" xfId="0" applyFont="1" applyFill="1" applyBorder="1" applyAlignment="1" applyProtection="1">
      <alignment horizontal="left" vertical="center"/>
      <protection/>
    </xf>
    <xf numFmtId="0" fontId="21" fillId="40" borderId="10" xfId="0" applyFont="1" applyFill="1" applyBorder="1" applyAlignment="1" applyProtection="1">
      <alignment horizontal="left" vertical="center"/>
      <protection locked="0"/>
    </xf>
    <xf numFmtId="0" fontId="21" fillId="40" borderId="10" xfId="0" applyFont="1" applyFill="1" applyBorder="1" applyAlignment="1" applyProtection="1">
      <alignment horizontal="right" vertical="center"/>
      <protection locked="0"/>
    </xf>
    <xf numFmtId="0" fontId="21" fillId="40" borderId="0" xfId="0" applyFont="1" applyFill="1" applyBorder="1" applyAlignment="1" applyProtection="1">
      <alignment horizontal="center" vertical="center"/>
      <protection/>
    </xf>
    <xf numFmtId="0" fontId="9" fillId="41" borderId="17" xfId="0" applyFont="1" applyFill="1" applyBorder="1" applyAlignment="1">
      <alignment horizontal="center" vertical="center"/>
    </xf>
    <xf numFmtId="0" fontId="9" fillId="41" borderId="0" xfId="0" applyFont="1" applyFill="1" applyBorder="1" applyAlignment="1">
      <alignment horizontal="center" vertical="center"/>
    </xf>
    <xf numFmtId="0" fontId="22" fillId="33" borderId="18" xfId="0" applyFont="1" applyFill="1" applyBorder="1" applyAlignment="1" applyProtection="1">
      <alignment horizontal="center"/>
      <protection/>
    </xf>
    <xf numFmtId="0" fontId="22" fillId="33" borderId="11" xfId="0" applyFont="1" applyFill="1" applyBorder="1" applyAlignment="1" applyProtection="1">
      <alignment horizontal="center"/>
      <protection/>
    </xf>
    <xf numFmtId="0" fontId="22" fillId="33" borderId="12" xfId="0" applyFont="1" applyFill="1" applyBorder="1" applyAlignment="1" applyProtection="1">
      <alignment horizontal="center"/>
      <protection/>
    </xf>
    <xf numFmtId="0" fontId="20" fillId="33" borderId="0" xfId="0" applyFont="1" applyFill="1" applyAlignment="1" applyProtection="1">
      <alignment horizontal="center" vertical="center"/>
      <protection/>
    </xf>
    <xf numFmtId="0" fontId="21" fillId="0" borderId="10" xfId="0" applyFont="1" applyBorder="1" applyAlignment="1">
      <alignment horizontal="left"/>
    </xf>
    <xf numFmtId="0" fontId="33" fillId="33" borderId="20" xfId="0" applyFont="1" applyFill="1" applyBorder="1" applyAlignment="1" applyProtection="1">
      <alignment horizontal="center"/>
      <protection locked="0"/>
    </xf>
    <xf numFmtId="0" fontId="20" fillId="33" borderId="18" xfId="0" applyFont="1" applyFill="1" applyBorder="1" applyAlignment="1" applyProtection="1">
      <alignment horizontal="center" vertical="center"/>
      <protection/>
    </xf>
    <xf numFmtId="0" fontId="20" fillId="33" borderId="11"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1" fillId="0" borderId="18" xfId="0" applyFont="1" applyBorder="1" applyAlignment="1">
      <alignment horizontal="left"/>
    </xf>
    <xf numFmtId="0" fontId="21" fillId="0" borderId="11" xfId="0" applyFont="1" applyBorder="1" applyAlignment="1">
      <alignment horizontal="left"/>
    </xf>
    <xf numFmtId="0" fontId="21" fillId="0" borderId="12" xfId="0" applyFont="1" applyBorder="1" applyAlignment="1">
      <alignment horizontal="left"/>
    </xf>
    <xf numFmtId="0" fontId="33" fillId="33" borderId="10" xfId="0" applyFont="1" applyFill="1" applyBorder="1" applyAlignment="1" applyProtection="1">
      <alignment horizontal="center"/>
      <protection locked="0"/>
    </xf>
    <xf numFmtId="0" fontId="1" fillId="33" borderId="0" xfId="0" applyFont="1" applyFill="1" applyBorder="1" applyAlignment="1" applyProtection="1">
      <alignment horizontal="center" vertical="center" wrapText="1"/>
      <protection/>
    </xf>
    <xf numFmtId="0" fontId="29" fillId="33" borderId="0" xfId="0" applyFont="1" applyFill="1" applyAlignment="1" applyProtection="1">
      <alignment horizontal="left"/>
      <protection/>
    </xf>
    <xf numFmtId="0" fontId="6" fillId="33" borderId="0" xfId="0" applyFont="1" applyFill="1" applyBorder="1" applyAlignment="1" applyProtection="1">
      <alignment horizontal="center" vertical="center" wrapText="1"/>
      <protection/>
    </xf>
    <xf numFmtId="173" fontId="18" fillId="33" borderId="0" xfId="0" applyNumberFormat="1" applyFont="1" applyFill="1" applyBorder="1" applyAlignment="1" applyProtection="1">
      <alignment horizontal="center"/>
      <protection/>
    </xf>
    <xf numFmtId="0" fontId="3" fillId="33" borderId="0" xfId="0" applyFont="1" applyFill="1" applyAlignment="1" applyProtection="1">
      <alignment horizontal="center" vertical="center"/>
      <protection/>
    </xf>
    <xf numFmtId="0" fontId="28" fillId="0" borderId="0"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2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19" fillId="0" borderId="16"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134</xdr:col>
      <xdr:colOff>0</xdr:colOff>
      <xdr:row>67</xdr:row>
      <xdr:rowOff>0</xdr:rowOff>
    </xdr:to>
    <xdr:sp>
      <xdr:nvSpPr>
        <xdr:cNvPr id="1" name="TextBox 4"/>
        <xdr:cNvSpPr txBox="1">
          <a:spLocks noChangeArrowheads="1"/>
        </xdr:cNvSpPr>
      </xdr:nvSpPr>
      <xdr:spPr>
        <a:xfrm>
          <a:off x="1266825" y="266700"/>
          <a:ext cx="7667625" cy="42005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98"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Paint.Picture" shapeId="890170"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zoomScale="205" zoomScaleNormal="205" zoomScalePageLayoutView="0" workbookViewId="0" topLeftCell="A1">
      <selection activeCell="A1" sqref="A1"/>
    </sheetView>
  </sheetViews>
  <sheetFormatPr defaultColWidth="11.421875" defaultRowHeight="12.75"/>
  <cols>
    <col min="1" max="1" width="86.57421875" style="21" customWidth="1"/>
    <col min="2" max="2" width="35.7109375" style="21" customWidth="1"/>
    <col min="3" max="16384" width="11.421875" style="21" customWidth="1"/>
  </cols>
  <sheetData>
    <row r="1" ht="64.5" customHeight="1">
      <c r="A1" s="23" t="s">
        <v>26</v>
      </c>
    </row>
    <row r="2" ht="97.5" customHeight="1">
      <c r="A2" s="24"/>
    </row>
    <row r="3" ht="112.5" customHeight="1">
      <c r="A3" s="24"/>
    </row>
    <row r="4" ht="150" customHeight="1">
      <c r="A4" s="22"/>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PageLayoutView="0" workbookViewId="0" topLeftCell="A1">
      <selection activeCell="A1" sqref="A1"/>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47</v>
      </c>
      <c r="B1" s="7" t="s">
        <v>48</v>
      </c>
      <c r="C1" s="134" t="s">
        <v>10</v>
      </c>
      <c r="D1" s="135"/>
      <c r="E1" s="135"/>
    </row>
    <row r="2" spans="1:4" ht="18" customHeight="1">
      <c r="A2" s="43" t="s">
        <v>55</v>
      </c>
      <c r="B2" s="44" t="s">
        <v>46</v>
      </c>
      <c r="C2" s="3" t="s">
        <v>11</v>
      </c>
      <c r="D2" s="4" t="s">
        <v>12</v>
      </c>
    </row>
    <row r="3" spans="1:4" ht="18" customHeight="1">
      <c r="A3" s="43" t="s">
        <v>52</v>
      </c>
      <c r="B3" s="44" t="s">
        <v>43</v>
      </c>
      <c r="C3" s="3" t="s">
        <v>2</v>
      </c>
      <c r="D3" s="45">
        <v>0.005555555555555556</v>
      </c>
    </row>
    <row r="4" spans="1:3" ht="18" customHeight="1">
      <c r="A4" s="43" t="s">
        <v>61</v>
      </c>
      <c r="B4" s="44" t="s">
        <v>51</v>
      </c>
      <c r="C4" s="3" t="s">
        <v>27</v>
      </c>
    </row>
    <row r="5" spans="1:4" ht="18" customHeight="1">
      <c r="A5" s="43" t="s">
        <v>53</v>
      </c>
      <c r="B5" s="44" t="s">
        <v>57</v>
      </c>
      <c r="C5" s="3" t="s">
        <v>3</v>
      </c>
      <c r="D5" s="46">
        <v>0.001388888888888889</v>
      </c>
    </row>
    <row r="6" spans="1:4" ht="18" customHeight="1">
      <c r="A6" s="43" t="s">
        <v>39</v>
      </c>
      <c r="B6" s="44" t="s">
        <v>60</v>
      </c>
      <c r="C6" s="6" t="s">
        <v>13</v>
      </c>
      <c r="D6" s="5"/>
    </row>
    <row r="7" spans="1:4" ht="18" customHeight="1">
      <c r="A7" s="43" t="s">
        <v>54</v>
      </c>
      <c r="B7" s="44" t="s">
        <v>40</v>
      </c>
      <c r="C7" s="3" t="s">
        <v>3</v>
      </c>
      <c r="D7" s="47">
        <v>0.008333333333333333</v>
      </c>
    </row>
    <row r="8" spans="1:3" ht="18" customHeight="1">
      <c r="A8" s="43" t="s">
        <v>56</v>
      </c>
      <c r="B8" s="44" t="s">
        <v>58</v>
      </c>
      <c r="C8" s="97" t="s">
        <v>81</v>
      </c>
    </row>
    <row r="9" spans="1:2" ht="18" customHeight="1">
      <c r="A9" s="43" t="s">
        <v>42</v>
      </c>
      <c r="B9" s="44" t="s">
        <v>59</v>
      </c>
    </row>
    <row r="10" spans="1:2" ht="18" customHeight="1">
      <c r="A10" s="56"/>
      <c r="B10" s="56"/>
    </row>
    <row r="11" spans="1:2" ht="18" customHeight="1">
      <c r="A11" s="56"/>
      <c r="B11" s="56"/>
    </row>
    <row r="12" spans="1:3" ht="18" customHeight="1">
      <c r="A12" s="56"/>
      <c r="B12" s="56"/>
      <c r="C12" s="3" t="s">
        <v>14</v>
      </c>
    </row>
    <row r="13" spans="1:4" ht="18" customHeight="1">
      <c r="A13" s="56"/>
      <c r="B13" s="56"/>
      <c r="C13" s="3" t="s">
        <v>15</v>
      </c>
      <c r="D13" s="48">
        <v>0.375</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89"/>
  <sheetViews>
    <sheetView showRowColHeaders="0" zoomScalePageLayoutView="0" workbookViewId="0" topLeftCell="A43">
      <selection activeCell="K52" sqref="K52"/>
    </sheetView>
  </sheetViews>
  <sheetFormatPr defaultColWidth="11.421875" defaultRowHeight="12.75"/>
  <cols>
    <col min="1" max="1" width="14.421875" style="53" customWidth="1"/>
    <col min="2" max="2" width="5.8515625" style="52" customWidth="1"/>
    <col min="3" max="3" width="2.7109375" style="73"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142" t="s">
        <v>49</v>
      </c>
      <c r="B1" s="143"/>
      <c r="C1" s="143"/>
      <c r="D1" s="144"/>
      <c r="E1" s="49"/>
      <c r="G1" s="142" t="s">
        <v>50</v>
      </c>
      <c r="H1" s="144"/>
      <c r="I1" s="51"/>
      <c r="J1" s="49"/>
    </row>
    <row r="2" spans="1:8" ht="14.25">
      <c r="A2" s="145" t="str">
        <f>Vorgaben!A2</f>
        <v>Himmelsstürmer</v>
      </c>
      <c r="B2" s="146"/>
      <c r="C2" s="146"/>
      <c r="D2" s="147"/>
      <c r="E2" s="49"/>
      <c r="G2" s="140" t="str">
        <f>Vorgaben!B2</f>
        <v>Mondspritzer Nußloch</v>
      </c>
      <c r="H2" s="140"/>
    </row>
    <row r="3" spans="1:8" ht="14.25">
      <c r="A3" s="145" t="str">
        <f>Vorgaben!A3</f>
        <v>Natural Born Kickers</v>
      </c>
      <c r="B3" s="146"/>
      <c r="C3" s="146"/>
      <c r="D3" s="147"/>
      <c r="E3" s="49"/>
      <c r="G3" s="140" t="str">
        <f>Vorgaben!B3</f>
        <v>KJG Brühl</v>
      </c>
      <c r="H3" s="140"/>
    </row>
    <row r="4" spans="1:8" ht="13.5">
      <c r="A4" s="145" t="str">
        <f>Vorgaben!A4</f>
        <v>St. Peter's Russelbande</v>
      </c>
      <c r="B4" s="146"/>
      <c r="C4" s="146"/>
      <c r="D4" s="147"/>
      <c r="E4" s="49"/>
      <c r="G4" s="140" t="str">
        <f>Vorgaben!B4</f>
        <v>Inter Heiland</v>
      </c>
      <c r="H4" s="140"/>
    </row>
    <row r="5" spans="1:8" ht="13.5">
      <c r="A5" s="145" t="str">
        <f>Vorgaben!A5</f>
        <v>Minis Rot</v>
      </c>
      <c r="B5" s="146"/>
      <c r="C5" s="146"/>
      <c r="D5" s="147"/>
      <c r="E5" s="49"/>
      <c r="G5" s="140" t="str">
        <f>Vorgaben!B5</f>
        <v>KJG Wiesloch</v>
      </c>
      <c r="H5" s="140"/>
    </row>
    <row r="6" spans="1:8" ht="13.5">
      <c r="A6" s="145" t="str">
        <f>Vorgaben!A6</f>
        <v>Kampfkarnickel</v>
      </c>
      <c r="B6" s="146"/>
      <c r="C6" s="146"/>
      <c r="D6" s="147"/>
      <c r="E6" s="49"/>
      <c r="G6" s="140" t="str">
        <f>Vorgaben!B6</f>
        <v>Minis St. Nikolaus</v>
      </c>
      <c r="H6" s="140"/>
    </row>
    <row r="7" spans="1:8" ht="13.5">
      <c r="A7" s="145" t="str">
        <f>Vorgaben!A7</f>
        <v>Minis Hl. Kreuz</v>
      </c>
      <c r="B7" s="146"/>
      <c r="C7" s="146"/>
      <c r="D7" s="147"/>
      <c r="E7" s="49"/>
      <c r="G7" s="140" t="str">
        <f>Vorgaben!B7</f>
        <v>Minis Mühlhausen/Rettigheim</v>
      </c>
      <c r="H7" s="140"/>
    </row>
    <row r="8" spans="1:8" ht="13.5">
      <c r="A8" s="145" t="str">
        <f>Vorgaben!A8</f>
        <v>Minis Plankstadt </v>
      </c>
      <c r="B8" s="146"/>
      <c r="C8" s="146"/>
      <c r="D8" s="147"/>
      <c r="E8" s="49"/>
      <c r="G8" s="140" t="str">
        <f>Vorgaben!B8</f>
        <v>FC Teufelskicker Engelhausen</v>
      </c>
      <c r="H8" s="140"/>
    </row>
    <row r="9" spans="1:8" ht="13.5">
      <c r="A9" s="145" t="str">
        <f>Vorgaben!A9</f>
        <v>KJG Burner</v>
      </c>
      <c r="B9" s="146"/>
      <c r="C9" s="146"/>
      <c r="D9" s="147"/>
      <c r="E9" s="49"/>
      <c r="G9" s="140" t="str">
        <f>Vorgaben!B9</f>
        <v>Miniators</v>
      </c>
      <c r="H9" s="140"/>
    </row>
    <row r="10" spans="1:7" ht="30" customHeight="1">
      <c r="A10" s="150" t="s">
        <v>44</v>
      </c>
      <c r="B10" s="150"/>
      <c r="C10" s="150"/>
      <c r="D10" s="150"/>
      <c r="E10" s="150"/>
      <c r="G10" s="49"/>
    </row>
    <row r="11" spans="1:10" s="70" customFormat="1" ht="27.75" customHeight="1">
      <c r="A11" s="106" t="s">
        <v>4</v>
      </c>
      <c r="B11" s="107" t="s">
        <v>5</v>
      </c>
      <c r="C11" s="151" t="s">
        <v>6</v>
      </c>
      <c r="D11" s="151"/>
      <c r="E11" s="108" t="s">
        <v>41</v>
      </c>
      <c r="F11" s="108"/>
      <c r="G11" s="108"/>
      <c r="H11" s="149" t="s">
        <v>7</v>
      </c>
      <c r="I11" s="149"/>
      <c r="J11" s="149"/>
    </row>
    <row r="12" spans="1:10" s="69" customFormat="1" ht="19.5" customHeight="1">
      <c r="A12" s="87">
        <f>Vorgaben!D13</f>
        <v>0.375</v>
      </c>
      <c r="B12" s="88">
        <v>1</v>
      </c>
      <c r="C12" s="89" t="s">
        <v>64</v>
      </c>
      <c r="D12" s="74" t="s">
        <v>66</v>
      </c>
      <c r="E12" s="90" t="str">
        <f>A2</f>
        <v>Himmelsstürmer</v>
      </c>
      <c r="F12" s="91" t="s">
        <v>8</v>
      </c>
      <c r="G12" s="92" t="str">
        <f>A3</f>
        <v>Natural Born Kickers</v>
      </c>
      <c r="H12" s="67"/>
      <c r="I12" s="91" t="s">
        <v>9</v>
      </c>
      <c r="J12" s="68"/>
    </row>
    <row r="13" spans="1:10" s="69" customFormat="1" ht="19.5" customHeight="1">
      <c r="A13" s="109">
        <f>A12</f>
        <v>0.375</v>
      </c>
      <c r="B13" s="110">
        <v>2</v>
      </c>
      <c r="C13" s="111" t="s">
        <v>65</v>
      </c>
      <c r="D13" s="112" t="s">
        <v>67</v>
      </c>
      <c r="E13" s="113" t="str">
        <f>G2</f>
        <v>Mondspritzer Nußloch</v>
      </c>
      <c r="F13" s="114" t="s">
        <v>8</v>
      </c>
      <c r="G13" s="115" t="str">
        <f>G3</f>
        <v>KJG Brühl</v>
      </c>
      <c r="H13" s="67"/>
      <c r="I13" s="105" t="s">
        <v>9</v>
      </c>
      <c r="J13" s="68"/>
    </row>
    <row r="14" spans="1:10" s="69" customFormat="1" ht="19.5" customHeight="1">
      <c r="A14" s="116">
        <f>A13+Vorgaben!$D$3+Vorgaben!$D$5</f>
        <v>0.3819444444444444</v>
      </c>
      <c r="B14" s="117">
        <v>3</v>
      </c>
      <c r="C14" s="118" t="s">
        <v>64</v>
      </c>
      <c r="D14" s="119" t="s">
        <v>66</v>
      </c>
      <c r="E14" s="120" t="str">
        <f>A4</f>
        <v>St. Peter's Russelbande</v>
      </c>
      <c r="F14" s="121" t="s">
        <v>8</v>
      </c>
      <c r="G14" s="122" t="str">
        <f>A5</f>
        <v>Minis Rot</v>
      </c>
      <c r="H14" s="132"/>
      <c r="I14" s="133" t="s">
        <v>9</v>
      </c>
      <c r="J14" s="123"/>
    </row>
    <row r="15" spans="1:10" s="69" customFormat="1" ht="19.5" customHeight="1">
      <c r="A15" s="124">
        <f>A14</f>
        <v>0.3819444444444444</v>
      </c>
      <c r="B15" s="125">
        <v>4</v>
      </c>
      <c r="C15" s="126" t="s">
        <v>65</v>
      </c>
      <c r="D15" s="127" t="s">
        <v>67</v>
      </c>
      <c r="E15" s="128" t="str">
        <f>G4</f>
        <v>Inter Heiland</v>
      </c>
      <c r="F15" s="129" t="s">
        <v>8</v>
      </c>
      <c r="G15" s="130" t="str">
        <f>G5</f>
        <v>KJG Wiesloch</v>
      </c>
      <c r="H15" s="132"/>
      <c r="I15" s="133" t="s">
        <v>9</v>
      </c>
      <c r="J15" s="131"/>
    </row>
    <row r="16" spans="1:10" s="69" customFormat="1" ht="19.5" customHeight="1">
      <c r="A16" s="87">
        <f>A15+Vorgaben!$D$3+Vorgaben!$D$5</f>
        <v>0.38888888888888884</v>
      </c>
      <c r="B16" s="88">
        <v>5</v>
      </c>
      <c r="C16" s="89" t="s">
        <v>64</v>
      </c>
      <c r="D16" s="74" t="s">
        <v>66</v>
      </c>
      <c r="E16" s="90" t="str">
        <f>A6</f>
        <v>Kampfkarnickel</v>
      </c>
      <c r="F16" s="91" t="s">
        <v>8</v>
      </c>
      <c r="G16" s="92" t="str">
        <f>A7</f>
        <v>Minis Hl. Kreuz</v>
      </c>
      <c r="H16" s="67"/>
      <c r="I16" s="105" t="s">
        <v>9</v>
      </c>
      <c r="J16" s="68"/>
    </row>
    <row r="17" spans="1:10" s="69" customFormat="1" ht="19.5" customHeight="1">
      <c r="A17" s="109">
        <f>A16</f>
        <v>0.38888888888888884</v>
      </c>
      <c r="B17" s="110">
        <v>6</v>
      </c>
      <c r="C17" s="111" t="s">
        <v>65</v>
      </c>
      <c r="D17" s="112" t="s">
        <v>67</v>
      </c>
      <c r="E17" s="113" t="str">
        <f>G6</f>
        <v>Minis St. Nikolaus</v>
      </c>
      <c r="F17" s="114" t="s">
        <v>8</v>
      </c>
      <c r="G17" s="115" t="str">
        <f>G7</f>
        <v>Minis Mühlhausen/Rettigheim</v>
      </c>
      <c r="H17" s="67"/>
      <c r="I17" s="114" t="s">
        <v>9</v>
      </c>
      <c r="J17" s="68"/>
    </row>
    <row r="18" spans="1:10" s="69" customFormat="1" ht="19.5" customHeight="1">
      <c r="A18" s="116">
        <f>A17+Vorgaben!$D$3+Vorgaben!$D$5</f>
        <v>0.39583333333333326</v>
      </c>
      <c r="B18" s="117">
        <v>7</v>
      </c>
      <c r="C18" s="118" t="s">
        <v>64</v>
      </c>
      <c r="D18" s="119" t="s">
        <v>66</v>
      </c>
      <c r="E18" s="120" t="str">
        <f>A8</f>
        <v>Minis Plankstadt </v>
      </c>
      <c r="F18" s="121" t="s">
        <v>8</v>
      </c>
      <c r="G18" s="122" t="str">
        <f>A9</f>
        <v>KJG Burner</v>
      </c>
      <c r="H18" s="132"/>
      <c r="I18" s="133" t="s">
        <v>9</v>
      </c>
      <c r="J18" s="123"/>
    </row>
    <row r="19" spans="1:10" s="69" customFormat="1" ht="19.5" customHeight="1">
      <c r="A19" s="124">
        <f>A18</f>
        <v>0.39583333333333326</v>
      </c>
      <c r="B19" s="125">
        <v>8</v>
      </c>
      <c r="C19" s="126" t="s">
        <v>65</v>
      </c>
      <c r="D19" s="127" t="s">
        <v>67</v>
      </c>
      <c r="E19" s="128" t="str">
        <f>G8</f>
        <v>FC Teufelskicker Engelhausen</v>
      </c>
      <c r="F19" s="129" t="s">
        <v>8</v>
      </c>
      <c r="G19" s="130" t="str">
        <f>G9</f>
        <v>Miniators</v>
      </c>
      <c r="H19" s="132"/>
      <c r="I19" s="133" t="s">
        <v>9</v>
      </c>
      <c r="J19" s="131"/>
    </row>
    <row r="20" spans="1:10" s="69" customFormat="1" ht="19.5" customHeight="1">
      <c r="A20" s="87">
        <f>A19+Vorgaben!$D$3+Vorgaben!$D$5</f>
        <v>0.4027777777777777</v>
      </c>
      <c r="B20" s="88">
        <v>9</v>
      </c>
      <c r="C20" s="89" t="s">
        <v>64</v>
      </c>
      <c r="D20" s="74" t="s">
        <v>66</v>
      </c>
      <c r="E20" s="90" t="str">
        <f>A4</f>
        <v>St. Peter's Russelbande</v>
      </c>
      <c r="F20" s="91" t="s">
        <v>8</v>
      </c>
      <c r="G20" s="92" t="str">
        <f>A2</f>
        <v>Himmelsstürmer</v>
      </c>
      <c r="H20" s="67"/>
      <c r="I20" s="91" t="s">
        <v>9</v>
      </c>
      <c r="J20" s="68"/>
    </row>
    <row r="21" spans="1:10" s="69" customFormat="1" ht="19.5" customHeight="1">
      <c r="A21" s="109">
        <f>A20</f>
        <v>0.4027777777777777</v>
      </c>
      <c r="B21" s="110">
        <v>10</v>
      </c>
      <c r="C21" s="111" t="s">
        <v>65</v>
      </c>
      <c r="D21" s="112" t="s">
        <v>67</v>
      </c>
      <c r="E21" s="113" t="str">
        <f>G4</f>
        <v>Inter Heiland</v>
      </c>
      <c r="F21" s="114" t="s">
        <v>8</v>
      </c>
      <c r="G21" s="115" t="str">
        <f>G2</f>
        <v>Mondspritzer Nußloch</v>
      </c>
      <c r="H21" s="67"/>
      <c r="I21" s="114" t="s">
        <v>9</v>
      </c>
      <c r="J21" s="68"/>
    </row>
    <row r="22" spans="1:10" s="69" customFormat="1" ht="19.5" customHeight="1">
      <c r="A22" s="116">
        <f>A21+Vorgaben!$D$3+Vorgaben!$D$5</f>
        <v>0.4097222222222221</v>
      </c>
      <c r="B22" s="117">
        <v>11</v>
      </c>
      <c r="C22" s="118" t="s">
        <v>64</v>
      </c>
      <c r="D22" s="119" t="s">
        <v>66</v>
      </c>
      <c r="E22" s="120" t="str">
        <f>A5</f>
        <v>Minis Rot</v>
      </c>
      <c r="F22" s="121" t="s">
        <v>8</v>
      </c>
      <c r="G22" s="122" t="str">
        <f>A3</f>
        <v>Natural Born Kickers</v>
      </c>
      <c r="H22" s="132"/>
      <c r="I22" s="133" t="s">
        <v>9</v>
      </c>
      <c r="J22" s="123"/>
    </row>
    <row r="23" spans="1:10" s="69" customFormat="1" ht="19.5" customHeight="1">
      <c r="A23" s="124">
        <f>A22</f>
        <v>0.4097222222222221</v>
      </c>
      <c r="B23" s="125">
        <v>12</v>
      </c>
      <c r="C23" s="126" t="s">
        <v>65</v>
      </c>
      <c r="D23" s="127" t="s">
        <v>67</v>
      </c>
      <c r="E23" s="128" t="str">
        <f>G5</f>
        <v>KJG Wiesloch</v>
      </c>
      <c r="F23" s="129" t="s">
        <v>8</v>
      </c>
      <c r="G23" s="130" t="str">
        <f>G3</f>
        <v>KJG Brühl</v>
      </c>
      <c r="H23" s="132"/>
      <c r="I23" s="133" t="s">
        <v>9</v>
      </c>
      <c r="J23" s="131"/>
    </row>
    <row r="24" spans="1:10" s="69" customFormat="1" ht="19.5" customHeight="1">
      <c r="A24" s="87">
        <f>A23+Vorgaben!$D$3+Vorgaben!$D$5</f>
        <v>0.4166666666666665</v>
      </c>
      <c r="B24" s="88">
        <v>13</v>
      </c>
      <c r="C24" s="89" t="s">
        <v>64</v>
      </c>
      <c r="D24" s="74" t="s">
        <v>66</v>
      </c>
      <c r="E24" s="90" t="str">
        <f>A8</f>
        <v>Minis Plankstadt </v>
      </c>
      <c r="F24" s="91" t="s">
        <v>8</v>
      </c>
      <c r="G24" s="92" t="str">
        <f>A6</f>
        <v>Kampfkarnickel</v>
      </c>
      <c r="H24" s="67"/>
      <c r="I24" s="91" t="s">
        <v>9</v>
      </c>
      <c r="J24" s="68"/>
    </row>
    <row r="25" spans="1:10" s="69" customFormat="1" ht="19.5" customHeight="1">
      <c r="A25" s="109">
        <f>A24</f>
        <v>0.4166666666666665</v>
      </c>
      <c r="B25" s="110">
        <v>14</v>
      </c>
      <c r="C25" s="111" t="s">
        <v>65</v>
      </c>
      <c r="D25" s="112" t="s">
        <v>67</v>
      </c>
      <c r="E25" s="113" t="str">
        <f>G8</f>
        <v>FC Teufelskicker Engelhausen</v>
      </c>
      <c r="F25" s="114" t="s">
        <v>8</v>
      </c>
      <c r="G25" s="115" t="str">
        <f>G6</f>
        <v>Minis St. Nikolaus</v>
      </c>
      <c r="H25" s="67"/>
      <c r="I25" s="114" t="s">
        <v>9</v>
      </c>
      <c r="J25" s="68"/>
    </row>
    <row r="26" spans="1:10" s="69" customFormat="1" ht="19.5" customHeight="1">
      <c r="A26" s="116">
        <f>A25+Vorgaben!$D$3+Vorgaben!$D$5</f>
        <v>0.42361111111111094</v>
      </c>
      <c r="B26" s="117">
        <v>15</v>
      </c>
      <c r="C26" s="118" t="s">
        <v>64</v>
      </c>
      <c r="D26" s="119" t="s">
        <v>66</v>
      </c>
      <c r="E26" s="120" t="str">
        <f>A7</f>
        <v>Minis Hl. Kreuz</v>
      </c>
      <c r="F26" s="121" t="s">
        <v>8</v>
      </c>
      <c r="G26" s="122" t="str">
        <f>A9</f>
        <v>KJG Burner</v>
      </c>
      <c r="H26" s="132"/>
      <c r="I26" s="133" t="s">
        <v>9</v>
      </c>
      <c r="J26" s="123"/>
    </row>
    <row r="27" spans="1:10" s="69" customFormat="1" ht="19.5" customHeight="1">
      <c r="A27" s="124">
        <f>A26</f>
        <v>0.42361111111111094</v>
      </c>
      <c r="B27" s="125">
        <v>16</v>
      </c>
      <c r="C27" s="126" t="s">
        <v>65</v>
      </c>
      <c r="D27" s="127" t="s">
        <v>67</v>
      </c>
      <c r="E27" s="128" t="str">
        <f>G7</f>
        <v>Minis Mühlhausen/Rettigheim</v>
      </c>
      <c r="F27" s="129" t="s">
        <v>8</v>
      </c>
      <c r="G27" s="130" t="str">
        <f>G9</f>
        <v>Miniators</v>
      </c>
      <c r="H27" s="132"/>
      <c r="I27" s="133" t="s">
        <v>9</v>
      </c>
      <c r="J27" s="131"/>
    </row>
    <row r="28" spans="1:10" s="69" customFormat="1" ht="19.5" customHeight="1">
      <c r="A28" s="87">
        <f>A27+Vorgaben!$D$3+Vorgaben!$D$5</f>
        <v>0.43055555555555536</v>
      </c>
      <c r="B28" s="88">
        <v>17</v>
      </c>
      <c r="C28" s="89" t="s">
        <v>64</v>
      </c>
      <c r="D28" s="74" t="s">
        <v>66</v>
      </c>
      <c r="E28" s="90" t="str">
        <f>A3</f>
        <v>Natural Born Kickers</v>
      </c>
      <c r="F28" s="91" t="s">
        <v>8</v>
      </c>
      <c r="G28" s="92" t="str">
        <f>A4</f>
        <v>St. Peter's Russelbande</v>
      </c>
      <c r="H28" s="67"/>
      <c r="I28" s="91" t="s">
        <v>9</v>
      </c>
      <c r="J28" s="68"/>
    </row>
    <row r="29" spans="1:10" s="69" customFormat="1" ht="19.5" customHeight="1">
      <c r="A29" s="109">
        <f>A28</f>
        <v>0.43055555555555536</v>
      </c>
      <c r="B29" s="110">
        <v>18</v>
      </c>
      <c r="C29" s="111" t="s">
        <v>65</v>
      </c>
      <c r="D29" s="112" t="s">
        <v>67</v>
      </c>
      <c r="E29" s="113" t="str">
        <f>G3</f>
        <v>KJG Brühl</v>
      </c>
      <c r="F29" s="114" t="s">
        <v>8</v>
      </c>
      <c r="G29" s="115" t="str">
        <f>G4</f>
        <v>Inter Heiland</v>
      </c>
      <c r="H29" s="67"/>
      <c r="I29" s="114" t="s">
        <v>9</v>
      </c>
      <c r="J29" s="68"/>
    </row>
    <row r="30" spans="1:10" s="69" customFormat="1" ht="19.5" customHeight="1">
      <c r="A30" s="116">
        <f>A29+Vorgaben!$D$3+Vorgaben!$D$5</f>
        <v>0.4374999999999998</v>
      </c>
      <c r="B30" s="117">
        <v>19</v>
      </c>
      <c r="C30" s="118" t="s">
        <v>64</v>
      </c>
      <c r="D30" s="119" t="s">
        <v>66</v>
      </c>
      <c r="E30" s="120" t="str">
        <f>A5</f>
        <v>Minis Rot</v>
      </c>
      <c r="F30" s="121" t="s">
        <v>8</v>
      </c>
      <c r="G30" s="122" t="str">
        <f>A2</f>
        <v>Himmelsstürmer</v>
      </c>
      <c r="H30" s="132"/>
      <c r="I30" s="133" t="s">
        <v>9</v>
      </c>
      <c r="J30" s="123"/>
    </row>
    <row r="31" spans="1:10" s="69" customFormat="1" ht="19.5" customHeight="1">
      <c r="A31" s="124">
        <f>A30</f>
        <v>0.4374999999999998</v>
      </c>
      <c r="B31" s="125">
        <v>20</v>
      </c>
      <c r="C31" s="126" t="s">
        <v>65</v>
      </c>
      <c r="D31" s="127" t="s">
        <v>67</v>
      </c>
      <c r="E31" s="128" t="str">
        <f>G5</f>
        <v>KJG Wiesloch</v>
      </c>
      <c r="F31" s="129" t="s">
        <v>8</v>
      </c>
      <c r="G31" s="130" t="str">
        <f>G2</f>
        <v>Mondspritzer Nußloch</v>
      </c>
      <c r="H31" s="132"/>
      <c r="I31" s="133" t="s">
        <v>9</v>
      </c>
      <c r="J31" s="131"/>
    </row>
    <row r="32" spans="1:10" s="69" customFormat="1" ht="19.5" customHeight="1">
      <c r="A32" s="87">
        <f>A31+Vorgaben!$D$3+Vorgaben!$D$5</f>
        <v>0.4444444444444442</v>
      </c>
      <c r="B32" s="88">
        <v>21</v>
      </c>
      <c r="C32" s="89" t="s">
        <v>64</v>
      </c>
      <c r="D32" s="74" t="s">
        <v>66</v>
      </c>
      <c r="E32" s="90" t="str">
        <f>A6</f>
        <v>Kampfkarnickel</v>
      </c>
      <c r="F32" s="91" t="s">
        <v>8</v>
      </c>
      <c r="G32" s="92" t="str">
        <f>A9</f>
        <v>KJG Burner</v>
      </c>
      <c r="H32" s="67"/>
      <c r="I32" s="91" t="s">
        <v>9</v>
      </c>
      <c r="J32" s="68"/>
    </row>
    <row r="33" spans="1:10" s="69" customFormat="1" ht="19.5" customHeight="1">
      <c r="A33" s="109">
        <f>A32</f>
        <v>0.4444444444444442</v>
      </c>
      <c r="B33" s="110">
        <v>22</v>
      </c>
      <c r="C33" s="111" t="s">
        <v>65</v>
      </c>
      <c r="D33" s="112" t="s">
        <v>67</v>
      </c>
      <c r="E33" s="113" t="str">
        <f>G6</f>
        <v>Minis St. Nikolaus</v>
      </c>
      <c r="F33" s="114" t="s">
        <v>8</v>
      </c>
      <c r="G33" s="115" t="str">
        <f>G9</f>
        <v>Miniators</v>
      </c>
      <c r="H33" s="67"/>
      <c r="I33" s="114" t="s">
        <v>9</v>
      </c>
      <c r="J33" s="68"/>
    </row>
    <row r="34" spans="1:10" s="69" customFormat="1" ht="19.5" customHeight="1">
      <c r="A34" s="116">
        <f>A33+Vorgaben!$D$3+Vorgaben!$D$5</f>
        <v>0.4513888888888886</v>
      </c>
      <c r="B34" s="117">
        <v>23</v>
      </c>
      <c r="C34" s="118" t="s">
        <v>64</v>
      </c>
      <c r="D34" s="119" t="s">
        <v>66</v>
      </c>
      <c r="E34" s="120" t="str">
        <f>A7</f>
        <v>Minis Hl. Kreuz</v>
      </c>
      <c r="F34" s="121" t="s">
        <v>8</v>
      </c>
      <c r="G34" s="122" t="str">
        <f>A8</f>
        <v>Minis Plankstadt </v>
      </c>
      <c r="H34" s="132"/>
      <c r="I34" s="133" t="s">
        <v>9</v>
      </c>
      <c r="J34" s="123"/>
    </row>
    <row r="35" spans="1:10" s="69" customFormat="1" ht="19.5" customHeight="1">
      <c r="A35" s="124">
        <f>A34</f>
        <v>0.4513888888888886</v>
      </c>
      <c r="B35" s="125">
        <v>24</v>
      </c>
      <c r="C35" s="126" t="s">
        <v>65</v>
      </c>
      <c r="D35" s="127" t="s">
        <v>67</v>
      </c>
      <c r="E35" s="128" t="str">
        <f>G7</f>
        <v>Minis Mühlhausen/Rettigheim</v>
      </c>
      <c r="F35" s="129" t="s">
        <v>8</v>
      </c>
      <c r="G35" s="130" t="str">
        <f>G8</f>
        <v>FC Teufelskicker Engelhausen</v>
      </c>
      <c r="H35" s="132"/>
      <c r="I35" s="133" t="s">
        <v>9</v>
      </c>
      <c r="J35" s="131"/>
    </row>
    <row r="36" spans="1:10" s="69" customFormat="1" ht="19.5" customHeight="1">
      <c r="A36" s="87">
        <f>A35+Vorgaben!$D$3+Vorgaben!$D$5</f>
        <v>0.45833333333333304</v>
      </c>
      <c r="B36" s="88">
        <v>25</v>
      </c>
      <c r="C36" s="89" t="s">
        <v>64</v>
      </c>
      <c r="D36" s="74" t="s">
        <v>66</v>
      </c>
      <c r="E36" s="90" t="str">
        <f>A9</f>
        <v>KJG Burner</v>
      </c>
      <c r="F36" s="91" t="s">
        <v>8</v>
      </c>
      <c r="G36" s="92" t="str">
        <f>A3</f>
        <v>Natural Born Kickers</v>
      </c>
      <c r="H36" s="67"/>
      <c r="I36" s="91" t="s">
        <v>9</v>
      </c>
      <c r="J36" s="68"/>
    </row>
    <row r="37" spans="1:10" s="69" customFormat="1" ht="19.5" customHeight="1">
      <c r="A37" s="109">
        <f>A36</f>
        <v>0.45833333333333304</v>
      </c>
      <c r="B37" s="110">
        <v>26</v>
      </c>
      <c r="C37" s="111" t="s">
        <v>65</v>
      </c>
      <c r="D37" s="112" t="s">
        <v>67</v>
      </c>
      <c r="E37" s="113" t="str">
        <f>G9</f>
        <v>Miniators</v>
      </c>
      <c r="F37" s="114" t="s">
        <v>8</v>
      </c>
      <c r="G37" s="115" t="str">
        <f>G3</f>
        <v>KJG Brühl</v>
      </c>
      <c r="H37" s="67"/>
      <c r="I37" s="114" t="s">
        <v>9</v>
      </c>
      <c r="J37" s="68"/>
    </row>
    <row r="38" spans="1:10" s="69" customFormat="1" ht="19.5" customHeight="1">
      <c r="A38" s="116">
        <f>A37+Vorgaben!$D$3+Vorgaben!$D$5</f>
        <v>0.46527777777777746</v>
      </c>
      <c r="B38" s="117">
        <v>27</v>
      </c>
      <c r="C38" s="118" t="s">
        <v>64</v>
      </c>
      <c r="D38" s="119" t="s">
        <v>66</v>
      </c>
      <c r="E38" s="120" t="str">
        <f>A6</f>
        <v>Kampfkarnickel</v>
      </c>
      <c r="F38" s="121" t="s">
        <v>8</v>
      </c>
      <c r="G38" s="122" t="str">
        <f>A4</f>
        <v>St. Peter's Russelbande</v>
      </c>
      <c r="H38" s="132"/>
      <c r="I38" s="133" t="s">
        <v>9</v>
      </c>
      <c r="J38" s="123"/>
    </row>
    <row r="39" spans="1:10" s="69" customFormat="1" ht="19.5" customHeight="1">
      <c r="A39" s="124">
        <f>A38</f>
        <v>0.46527777777777746</v>
      </c>
      <c r="B39" s="125">
        <v>28</v>
      </c>
      <c r="C39" s="126" t="s">
        <v>65</v>
      </c>
      <c r="D39" s="127" t="s">
        <v>67</v>
      </c>
      <c r="E39" s="128" t="str">
        <f>G6</f>
        <v>Minis St. Nikolaus</v>
      </c>
      <c r="F39" s="129" t="s">
        <v>8</v>
      </c>
      <c r="G39" s="130" t="str">
        <f>G4</f>
        <v>Inter Heiland</v>
      </c>
      <c r="H39" s="132"/>
      <c r="I39" s="133" t="s">
        <v>9</v>
      </c>
      <c r="J39" s="131"/>
    </row>
    <row r="40" spans="1:10" s="69" customFormat="1" ht="19.5" customHeight="1">
      <c r="A40" s="87">
        <f>A39+Vorgaben!$D$3+Vorgaben!$D$5</f>
        <v>0.4722222222222219</v>
      </c>
      <c r="B40" s="88">
        <v>29</v>
      </c>
      <c r="C40" s="89" t="s">
        <v>64</v>
      </c>
      <c r="D40" s="74" t="s">
        <v>66</v>
      </c>
      <c r="E40" s="90" t="str">
        <f>A7</f>
        <v>Minis Hl. Kreuz</v>
      </c>
      <c r="F40" s="91" t="s">
        <v>8</v>
      </c>
      <c r="G40" s="92" t="str">
        <f>A2</f>
        <v>Himmelsstürmer</v>
      </c>
      <c r="H40" s="67"/>
      <c r="I40" s="91" t="s">
        <v>9</v>
      </c>
      <c r="J40" s="68"/>
    </row>
    <row r="41" spans="1:10" s="69" customFormat="1" ht="19.5" customHeight="1">
      <c r="A41" s="109">
        <f>A40</f>
        <v>0.4722222222222219</v>
      </c>
      <c r="B41" s="110">
        <v>30</v>
      </c>
      <c r="C41" s="111" t="s">
        <v>65</v>
      </c>
      <c r="D41" s="112" t="s">
        <v>67</v>
      </c>
      <c r="E41" s="113" t="str">
        <f>G7</f>
        <v>Minis Mühlhausen/Rettigheim</v>
      </c>
      <c r="F41" s="114" t="s">
        <v>8</v>
      </c>
      <c r="G41" s="115" t="str">
        <f>G2</f>
        <v>Mondspritzer Nußloch</v>
      </c>
      <c r="H41" s="67"/>
      <c r="I41" s="114" t="s">
        <v>9</v>
      </c>
      <c r="J41" s="68"/>
    </row>
    <row r="42" spans="1:10" s="69" customFormat="1" ht="19.5" customHeight="1">
      <c r="A42" s="116">
        <f>A41+Vorgaben!$D$3+Vorgaben!$D$5</f>
        <v>0.4791666666666663</v>
      </c>
      <c r="B42" s="117">
        <v>31</v>
      </c>
      <c r="C42" s="118" t="s">
        <v>64</v>
      </c>
      <c r="D42" s="119" t="s">
        <v>66</v>
      </c>
      <c r="E42" s="120" t="str">
        <f>A5</f>
        <v>Minis Rot</v>
      </c>
      <c r="F42" s="121" t="s">
        <v>8</v>
      </c>
      <c r="G42" s="122" t="str">
        <f>A8</f>
        <v>Minis Plankstadt </v>
      </c>
      <c r="H42" s="132"/>
      <c r="I42" s="133" t="s">
        <v>9</v>
      </c>
      <c r="J42" s="123"/>
    </row>
    <row r="43" spans="1:10" s="69" customFormat="1" ht="19.5" customHeight="1">
      <c r="A43" s="124">
        <f>A42</f>
        <v>0.4791666666666663</v>
      </c>
      <c r="B43" s="125">
        <v>32</v>
      </c>
      <c r="C43" s="126" t="s">
        <v>65</v>
      </c>
      <c r="D43" s="127" t="s">
        <v>67</v>
      </c>
      <c r="E43" s="128" t="str">
        <f>G5</f>
        <v>KJG Wiesloch</v>
      </c>
      <c r="F43" s="129" t="s">
        <v>8</v>
      </c>
      <c r="G43" s="130" t="str">
        <f>G8</f>
        <v>FC Teufelskicker Engelhausen</v>
      </c>
      <c r="H43" s="132"/>
      <c r="I43" s="133" t="s">
        <v>9</v>
      </c>
      <c r="J43" s="131"/>
    </row>
    <row r="44" spans="1:10" s="69" customFormat="1" ht="19.5" customHeight="1">
      <c r="A44" s="87">
        <f>A43+Vorgaben!$D$3+Vorgaben!$D$5</f>
        <v>0.4861111111111107</v>
      </c>
      <c r="B44" s="88">
        <v>33</v>
      </c>
      <c r="C44" s="89" t="s">
        <v>64</v>
      </c>
      <c r="D44" s="74" t="s">
        <v>66</v>
      </c>
      <c r="E44" s="90" t="str">
        <f>A3</f>
        <v>Natural Born Kickers</v>
      </c>
      <c r="F44" s="91" t="s">
        <v>8</v>
      </c>
      <c r="G44" s="92" t="str">
        <f>A6</f>
        <v>Kampfkarnickel</v>
      </c>
      <c r="H44" s="67"/>
      <c r="I44" s="91" t="s">
        <v>9</v>
      </c>
      <c r="J44" s="68"/>
    </row>
    <row r="45" spans="1:10" s="69" customFormat="1" ht="19.5" customHeight="1">
      <c r="A45" s="109">
        <f>A44</f>
        <v>0.4861111111111107</v>
      </c>
      <c r="B45" s="110">
        <v>34</v>
      </c>
      <c r="C45" s="111" t="s">
        <v>65</v>
      </c>
      <c r="D45" s="112" t="s">
        <v>67</v>
      </c>
      <c r="E45" s="113" t="str">
        <f>G3</f>
        <v>KJG Brühl</v>
      </c>
      <c r="F45" s="114" t="s">
        <v>8</v>
      </c>
      <c r="G45" s="115" t="str">
        <f>G6</f>
        <v>Minis St. Nikolaus</v>
      </c>
      <c r="H45" s="67"/>
      <c r="I45" s="114" t="s">
        <v>9</v>
      </c>
      <c r="J45" s="68"/>
    </row>
    <row r="46" spans="1:10" s="69" customFormat="1" ht="19.5" customHeight="1">
      <c r="A46" s="116">
        <f>A45+Vorgaben!$D$3+Vorgaben!$D$5</f>
        <v>0.49305555555555514</v>
      </c>
      <c r="B46" s="117">
        <v>35</v>
      </c>
      <c r="C46" s="118" t="s">
        <v>64</v>
      </c>
      <c r="D46" s="119" t="s">
        <v>66</v>
      </c>
      <c r="E46" s="120" t="str">
        <f>A9</f>
        <v>KJG Burner</v>
      </c>
      <c r="F46" s="121" t="s">
        <v>8</v>
      </c>
      <c r="G46" s="122" t="str">
        <f>A4</f>
        <v>St. Peter's Russelbande</v>
      </c>
      <c r="H46" s="132"/>
      <c r="I46" s="133" t="s">
        <v>9</v>
      </c>
      <c r="J46" s="123"/>
    </row>
    <row r="47" spans="1:10" s="69" customFormat="1" ht="19.5" customHeight="1">
      <c r="A47" s="124">
        <f>A46</f>
        <v>0.49305555555555514</v>
      </c>
      <c r="B47" s="125">
        <v>36</v>
      </c>
      <c r="C47" s="126" t="s">
        <v>65</v>
      </c>
      <c r="D47" s="127" t="s">
        <v>67</v>
      </c>
      <c r="E47" s="128" t="str">
        <f>G9</f>
        <v>Miniators</v>
      </c>
      <c r="F47" s="129" t="s">
        <v>8</v>
      </c>
      <c r="G47" s="130" t="str">
        <f>G4</f>
        <v>Inter Heiland</v>
      </c>
      <c r="H47" s="132"/>
      <c r="I47" s="133" t="s">
        <v>9</v>
      </c>
      <c r="J47" s="131"/>
    </row>
    <row r="48" spans="1:10" s="69" customFormat="1" ht="19.5" customHeight="1">
      <c r="A48" s="87">
        <f>A47+Vorgaben!$D$3+Vorgaben!$D$5</f>
        <v>0.49999999999999956</v>
      </c>
      <c r="B48" s="88">
        <v>37</v>
      </c>
      <c r="C48" s="89" t="s">
        <v>64</v>
      </c>
      <c r="D48" s="74" t="s">
        <v>66</v>
      </c>
      <c r="E48" s="90" t="str">
        <f>A5</f>
        <v>Minis Rot</v>
      </c>
      <c r="F48" s="91" t="s">
        <v>8</v>
      </c>
      <c r="G48" s="92" t="str">
        <f>A7</f>
        <v>Minis Hl. Kreuz</v>
      </c>
      <c r="H48" s="67"/>
      <c r="I48" s="91" t="s">
        <v>9</v>
      </c>
      <c r="J48" s="68"/>
    </row>
    <row r="49" spans="1:10" s="69" customFormat="1" ht="19.5" customHeight="1">
      <c r="A49" s="109">
        <f>A48</f>
        <v>0.49999999999999956</v>
      </c>
      <c r="B49" s="110">
        <v>38</v>
      </c>
      <c r="C49" s="111" t="s">
        <v>65</v>
      </c>
      <c r="D49" s="112" t="s">
        <v>67</v>
      </c>
      <c r="E49" s="113" t="str">
        <f>G5</f>
        <v>KJG Wiesloch</v>
      </c>
      <c r="F49" s="114" t="s">
        <v>8</v>
      </c>
      <c r="G49" s="115" t="str">
        <f>G7</f>
        <v>Minis Mühlhausen/Rettigheim</v>
      </c>
      <c r="H49" s="67"/>
      <c r="I49" s="114" t="s">
        <v>9</v>
      </c>
      <c r="J49" s="68"/>
    </row>
    <row r="50" spans="1:10" s="69" customFormat="1" ht="19.5" customHeight="1">
      <c r="A50" s="116">
        <f>A49+Vorgaben!$D$3+Vorgaben!$D$5</f>
        <v>0.506944444444444</v>
      </c>
      <c r="B50" s="117">
        <v>39</v>
      </c>
      <c r="C50" s="118" t="s">
        <v>64</v>
      </c>
      <c r="D50" s="119" t="s">
        <v>66</v>
      </c>
      <c r="E50" s="120" t="str">
        <f>A2</f>
        <v>Himmelsstürmer</v>
      </c>
      <c r="F50" s="121" t="s">
        <v>8</v>
      </c>
      <c r="G50" s="122" t="str">
        <f>A8</f>
        <v>Minis Plankstadt </v>
      </c>
      <c r="H50" s="132">
        <v>2</v>
      </c>
      <c r="I50" s="133" t="s">
        <v>9</v>
      </c>
      <c r="J50" s="123">
        <v>1</v>
      </c>
    </row>
    <row r="51" spans="1:10" s="69" customFormat="1" ht="19.5" customHeight="1">
      <c r="A51" s="124">
        <f>A50</f>
        <v>0.506944444444444</v>
      </c>
      <c r="B51" s="125">
        <v>40</v>
      </c>
      <c r="C51" s="126" t="s">
        <v>65</v>
      </c>
      <c r="D51" s="127" t="s">
        <v>67</v>
      </c>
      <c r="E51" s="128" t="str">
        <f>G2</f>
        <v>Mondspritzer Nußloch</v>
      </c>
      <c r="F51" s="129" t="s">
        <v>8</v>
      </c>
      <c r="G51" s="130" t="str">
        <f>G8</f>
        <v>FC Teufelskicker Engelhausen</v>
      </c>
      <c r="H51" s="132"/>
      <c r="I51" s="133" t="s">
        <v>9</v>
      </c>
      <c r="J51" s="131"/>
    </row>
    <row r="52" spans="1:10" s="69" customFormat="1" ht="19.5" customHeight="1">
      <c r="A52" s="87">
        <f>A51+Vorgaben!$D$3+Vorgaben!$D$5</f>
        <v>0.5138888888888884</v>
      </c>
      <c r="B52" s="88">
        <v>41</v>
      </c>
      <c r="C52" s="89" t="s">
        <v>64</v>
      </c>
      <c r="D52" s="74" t="s">
        <v>66</v>
      </c>
      <c r="E52" s="90" t="str">
        <f>A6</f>
        <v>Kampfkarnickel</v>
      </c>
      <c r="F52" s="91" t="s">
        <v>8</v>
      </c>
      <c r="G52" s="92" t="str">
        <f>A5</f>
        <v>Minis Rot</v>
      </c>
      <c r="H52" s="67"/>
      <c r="I52" s="91" t="s">
        <v>9</v>
      </c>
      <c r="J52" s="68"/>
    </row>
    <row r="53" spans="1:10" s="69" customFormat="1" ht="19.5" customHeight="1">
      <c r="A53" s="109">
        <f>A52</f>
        <v>0.5138888888888884</v>
      </c>
      <c r="B53" s="110">
        <v>42</v>
      </c>
      <c r="C53" s="111" t="s">
        <v>65</v>
      </c>
      <c r="D53" s="112" t="s">
        <v>67</v>
      </c>
      <c r="E53" s="113" t="str">
        <f>G6</f>
        <v>Minis St. Nikolaus</v>
      </c>
      <c r="F53" s="114" t="s">
        <v>8</v>
      </c>
      <c r="G53" s="115" t="str">
        <f>G5</f>
        <v>KJG Wiesloch</v>
      </c>
      <c r="H53" s="67"/>
      <c r="I53" s="114" t="s">
        <v>9</v>
      </c>
      <c r="J53" s="68"/>
    </row>
    <row r="54" spans="1:10" s="69" customFormat="1" ht="19.5" customHeight="1">
      <c r="A54" s="116">
        <f>A53+Vorgaben!$D$3+Vorgaben!$D$5</f>
        <v>0.5208333333333328</v>
      </c>
      <c r="B54" s="117">
        <v>43</v>
      </c>
      <c r="C54" s="118" t="s">
        <v>64</v>
      </c>
      <c r="D54" s="119" t="s">
        <v>66</v>
      </c>
      <c r="E54" s="120" t="str">
        <f>A3</f>
        <v>Natural Born Kickers</v>
      </c>
      <c r="F54" s="121" t="s">
        <v>8</v>
      </c>
      <c r="G54" s="122" t="str">
        <f>A7</f>
        <v>Minis Hl. Kreuz</v>
      </c>
      <c r="H54" s="132"/>
      <c r="I54" s="133" t="s">
        <v>9</v>
      </c>
      <c r="J54" s="123"/>
    </row>
    <row r="55" spans="1:10" s="69" customFormat="1" ht="19.5" customHeight="1">
      <c r="A55" s="124">
        <f>A54</f>
        <v>0.5208333333333328</v>
      </c>
      <c r="B55" s="125">
        <v>44</v>
      </c>
      <c r="C55" s="126" t="s">
        <v>65</v>
      </c>
      <c r="D55" s="127" t="s">
        <v>67</v>
      </c>
      <c r="E55" s="128" t="str">
        <f>G3</f>
        <v>KJG Brühl</v>
      </c>
      <c r="F55" s="129" t="s">
        <v>8</v>
      </c>
      <c r="G55" s="130" t="str">
        <f>G7</f>
        <v>Minis Mühlhausen/Rettigheim</v>
      </c>
      <c r="H55" s="132"/>
      <c r="I55" s="133" t="s">
        <v>9</v>
      </c>
      <c r="J55" s="131"/>
    </row>
    <row r="56" spans="1:10" s="69" customFormat="1" ht="19.5" customHeight="1">
      <c r="A56" s="87">
        <f>A55+Vorgaben!$D$3+Vorgaben!$D$5</f>
        <v>0.5277777777777772</v>
      </c>
      <c r="B56" s="88">
        <v>45</v>
      </c>
      <c r="C56" s="89" t="s">
        <v>64</v>
      </c>
      <c r="D56" s="74" t="s">
        <v>66</v>
      </c>
      <c r="E56" s="90" t="str">
        <f>A2</f>
        <v>Himmelsstürmer</v>
      </c>
      <c r="F56" s="91" t="s">
        <v>8</v>
      </c>
      <c r="G56" s="92" t="str">
        <f>A9</f>
        <v>KJG Burner</v>
      </c>
      <c r="H56" s="67"/>
      <c r="I56" s="91" t="s">
        <v>9</v>
      </c>
      <c r="J56" s="68"/>
    </row>
    <row r="57" spans="1:10" s="69" customFormat="1" ht="19.5" customHeight="1">
      <c r="A57" s="109">
        <f>A56</f>
        <v>0.5277777777777772</v>
      </c>
      <c r="B57" s="110">
        <v>46</v>
      </c>
      <c r="C57" s="111" t="s">
        <v>65</v>
      </c>
      <c r="D57" s="112" t="s">
        <v>67</v>
      </c>
      <c r="E57" s="113" t="str">
        <f>G2</f>
        <v>Mondspritzer Nußloch</v>
      </c>
      <c r="F57" s="114" t="s">
        <v>8</v>
      </c>
      <c r="G57" s="115" t="str">
        <f>G9</f>
        <v>Miniators</v>
      </c>
      <c r="H57" s="67"/>
      <c r="I57" s="114" t="s">
        <v>9</v>
      </c>
      <c r="J57" s="68"/>
    </row>
    <row r="58" spans="1:10" s="69" customFormat="1" ht="19.5" customHeight="1">
      <c r="A58" s="116">
        <f>A57+Vorgaben!$D$3+Vorgaben!$D$5</f>
        <v>0.5347222222222217</v>
      </c>
      <c r="B58" s="117">
        <v>47</v>
      </c>
      <c r="C58" s="118" t="s">
        <v>64</v>
      </c>
      <c r="D58" s="119" t="s">
        <v>66</v>
      </c>
      <c r="E58" s="120" t="str">
        <f>A8</f>
        <v>Minis Plankstadt </v>
      </c>
      <c r="F58" s="121" t="s">
        <v>8</v>
      </c>
      <c r="G58" s="122" t="str">
        <f>A4</f>
        <v>St. Peter's Russelbande</v>
      </c>
      <c r="H58" s="132"/>
      <c r="I58" s="133" t="s">
        <v>9</v>
      </c>
      <c r="J58" s="123"/>
    </row>
    <row r="59" spans="1:10" s="69" customFormat="1" ht="19.5" customHeight="1">
      <c r="A59" s="124">
        <f>A58</f>
        <v>0.5347222222222217</v>
      </c>
      <c r="B59" s="125">
        <v>48</v>
      </c>
      <c r="C59" s="126" t="s">
        <v>65</v>
      </c>
      <c r="D59" s="127" t="s">
        <v>67</v>
      </c>
      <c r="E59" s="128" t="str">
        <f>G8</f>
        <v>FC Teufelskicker Engelhausen</v>
      </c>
      <c r="F59" s="129" t="s">
        <v>8</v>
      </c>
      <c r="G59" s="130" t="str">
        <f>G4</f>
        <v>Inter Heiland</v>
      </c>
      <c r="H59" s="132"/>
      <c r="I59" s="133" t="s">
        <v>9</v>
      </c>
      <c r="J59" s="131"/>
    </row>
    <row r="60" spans="1:10" s="69" customFormat="1" ht="19.5" customHeight="1">
      <c r="A60" s="87">
        <f>A59+Vorgaben!$D$3+Vorgaben!$D$5</f>
        <v>0.5416666666666661</v>
      </c>
      <c r="B60" s="88">
        <v>49</v>
      </c>
      <c r="C60" s="89" t="s">
        <v>64</v>
      </c>
      <c r="D60" s="74" t="s">
        <v>66</v>
      </c>
      <c r="E60" s="90" t="str">
        <f>A9</f>
        <v>KJG Burner</v>
      </c>
      <c r="F60" s="91" t="s">
        <v>8</v>
      </c>
      <c r="G60" s="92" t="str">
        <f>A5</f>
        <v>Minis Rot</v>
      </c>
      <c r="H60" s="67"/>
      <c r="I60" s="91" t="s">
        <v>9</v>
      </c>
      <c r="J60" s="68"/>
    </row>
    <row r="61" spans="1:10" s="69" customFormat="1" ht="19.5" customHeight="1">
      <c r="A61" s="109">
        <f>A60</f>
        <v>0.5416666666666661</v>
      </c>
      <c r="B61" s="110">
        <v>50</v>
      </c>
      <c r="C61" s="111" t="s">
        <v>65</v>
      </c>
      <c r="D61" s="112" t="s">
        <v>67</v>
      </c>
      <c r="E61" s="113" t="str">
        <f>G9</f>
        <v>Miniators</v>
      </c>
      <c r="F61" s="114" t="s">
        <v>8</v>
      </c>
      <c r="G61" s="115" t="str">
        <f>G5</f>
        <v>KJG Wiesloch</v>
      </c>
      <c r="H61" s="67"/>
      <c r="I61" s="114" t="s">
        <v>9</v>
      </c>
      <c r="J61" s="68"/>
    </row>
    <row r="62" spans="1:10" s="69" customFormat="1" ht="19.5" customHeight="1">
      <c r="A62" s="116">
        <f>A61+Vorgaben!$D$3+Vorgaben!$D$5</f>
        <v>0.5486111111111105</v>
      </c>
      <c r="B62" s="117">
        <v>51</v>
      </c>
      <c r="C62" s="118" t="s">
        <v>64</v>
      </c>
      <c r="D62" s="119" t="s">
        <v>66</v>
      </c>
      <c r="E62" s="120" t="str">
        <f>A2</f>
        <v>Himmelsstürmer</v>
      </c>
      <c r="F62" s="121" t="s">
        <v>8</v>
      </c>
      <c r="G62" s="122" t="str">
        <f>A6</f>
        <v>Kampfkarnickel</v>
      </c>
      <c r="H62" s="132"/>
      <c r="I62" s="133" t="s">
        <v>9</v>
      </c>
      <c r="J62" s="123"/>
    </row>
    <row r="63" spans="1:10" s="69" customFormat="1" ht="19.5" customHeight="1">
      <c r="A63" s="124">
        <f>A62</f>
        <v>0.5486111111111105</v>
      </c>
      <c r="B63" s="125">
        <v>52</v>
      </c>
      <c r="C63" s="126" t="s">
        <v>65</v>
      </c>
      <c r="D63" s="127" t="s">
        <v>67</v>
      </c>
      <c r="E63" s="128" t="str">
        <f>G2</f>
        <v>Mondspritzer Nußloch</v>
      </c>
      <c r="F63" s="129" t="s">
        <v>8</v>
      </c>
      <c r="G63" s="130" t="str">
        <f>G6</f>
        <v>Minis St. Nikolaus</v>
      </c>
      <c r="H63" s="132"/>
      <c r="I63" s="133" t="s">
        <v>9</v>
      </c>
      <c r="J63" s="131"/>
    </row>
    <row r="64" spans="1:10" s="69" customFormat="1" ht="19.5" customHeight="1">
      <c r="A64" s="87">
        <f>A63+Vorgaben!$D$3+Vorgaben!$D$5</f>
        <v>0.5555555555555549</v>
      </c>
      <c r="B64" s="88">
        <v>53</v>
      </c>
      <c r="C64" s="89" t="s">
        <v>64</v>
      </c>
      <c r="D64" s="74" t="s">
        <v>66</v>
      </c>
      <c r="E64" s="90" t="str">
        <f>A8</f>
        <v>Minis Plankstadt </v>
      </c>
      <c r="F64" s="91" t="s">
        <v>8</v>
      </c>
      <c r="G64" s="92" t="str">
        <f>A3</f>
        <v>Natural Born Kickers</v>
      </c>
      <c r="H64" s="67"/>
      <c r="I64" s="91" t="s">
        <v>9</v>
      </c>
      <c r="J64" s="68"/>
    </row>
    <row r="65" spans="1:10" s="69" customFormat="1" ht="19.5" customHeight="1">
      <c r="A65" s="109">
        <f>A64</f>
        <v>0.5555555555555549</v>
      </c>
      <c r="B65" s="110">
        <v>54</v>
      </c>
      <c r="C65" s="111" t="s">
        <v>65</v>
      </c>
      <c r="D65" s="112" t="s">
        <v>67</v>
      </c>
      <c r="E65" s="113" t="str">
        <f>G8</f>
        <v>FC Teufelskicker Engelhausen</v>
      </c>
      <c r="F65" s="114" t="s">
        <v>8</v>
      </c>
      <c r="G65" s="115" t="str">
        <f>G3</f>
        <v>KJG Brühl</v>
      </c>
      <c r="H65" s="67"/>
      <c r="I65" s="114" t="s">
        <v>9</v>
      </c>
      <c r="J65" s="68"/>
    </row>
    <row r="66" spans="1:10" s="69" customFormat="1" ht="19.5" customHeight="1">
      <c r="A66" s="116">
        <f>A65+Vorgaben!$D$3+Vorgaben!$D$5</f>
        <v>0.5624999999999993</v>
      </c>
      <c r="B66" s="117">
        <v>55</v>
      </c>
      <c r="C66" s="118" t="s">
        <v>64</v>
      </c>
      <c r="D66" s="119" t="s">
        <v>66</v>
      </c>
      <c r="E66" s="120" t="str">
        <f>A4</f>
        <v>St. Peter's Russelbande</v>
      </c>
      <c r="F66" s="121" t="s">
        <v>8</v>
      </c>
      <c r="G66" s="122" t="str">
        <f>A7</f>
        <v>Minis Hl. Kreuz</v>
      </c>
      <c r="H66" s="132"/>
      <c r="I66" s="121" t="s">
        <v>9</v>
      </c>
      <c r="J66" s="123"/>
    </row>
    <row r="67" spans="1:10" s="69" customFormat="1" ht="19.5" customHeight="1">
      <c r="A67" s="124">
        <f>A66</f>
        <v>0.5624999999999993</v>
      </c>
      <c r="B67" s="125">
        <v>56</v>
      </c>
      <c r="C67" s="126" t="s">
        <v>65</v>
      </c>
      <c r="D67" s="127" t="s">
        <v>67</v>
      </c>
      <c r="E67" s="128" t="str">
        <f>G4</f>
        <v>Inter Heiland</v>
      </c>
      <c r="F67" s="129" t="s">
        <v>8</v>
      </c>
      <c r="G67" s="130" t="str">
        <f>G7</f>
        <v>Minis Mühlhausen/Rettigheim</v>
      </c>
      <c r="H67" s="132"/>
      <c r="I67" s="129" t="s">
        <v>9</v>
      </c>
      <c r="J67" s="131"/>
    </row>
    <row r="69" spans="1:9" s="75" customFormat="1" ht="33" customHeight="1">
      <c r="A69" s="96"/>
      <c r="B69" s="66"/>
      <c r="C69" s="76"/>
      <c r="D69" s="76"/>
      <c r="E69" s="139" t="s">
        <v>78</v>
      </c>
      <c r="F69" s="139"/>
      <c r="G69" s="139"/>
      <c r="H69" s="81"/>
      <c r="I69" s="77"/>
    </row>
    <row r="70" spans="1:10" s="75" customFormat="1" ht="15" customHeight="1">
      <c r="A70" s="99">
        <f>A67+Vorgaben!$D$3+Vorgaben!$D$7</f>
        <v>0.5763888888888882</v>
      </c>
      <c r="B70" s="100">
        <v>57</v>
      </c>
      <c r="C70" s="78"/>
      <c r="D70" s="78" t="s">
        <v>66</v>
      </c>
      <c r="E70" s="103">
        <f>IF(J66="","",'Gruppen-Tabellen'!B4)</f>
      </c>
      <c r="F70" s="79" t="s">
        <v>9</v>
      </c>
      <c r="G70" s="104">
        <f>IF(J67="","",'Gruppen-Tabellen'!B15)</f>
      </c>
      <c r="H70" s="101"/>
      <c r="I70" s="79" t="s">
        <v>9</v>
      </c>
      <c r="J70" s="102"/>
    </row>
    <row r="71" spans="1:10" s="75" customFormat="1" ht="12.75">
      <c r="A71" s="81"/>
      <c r="C71" s="76"/>
      <c r="D71" s="76"/>
      <c r="E71" s="80" t="s">
        <v>68</v>
      </c>
      <c r="F71" s="80"/>
      <c r="G71" s="80" t="s">
        <v>72</v>
      </c>
      <c r="H71" s="141"/>
      <c r="I71" s="141"/>
      <c r="J71" s="141"/>
    </row>
    <row r="72" spans="1:9" s="75" customFormat="1" ht="25.5" customHeight="1">
      <c r="A72" s="82"/>
      <c r="B72" s="66"/>
      <c r="C72" s="76"/>
      <c r="D72" s="85"/>
      <c r="E72" s="139" t="s">
        <v>79</v>
      </c>
      <c r="F72" s="139"/>
      <c r="G72" s="139"/>
      <c r="H72" s="77"/>
      <c r="I72" s="77"/>
    </row>
    <row r="73" spans="1:10" s="75" customFormat="1" ht="15" customHeight="1">
      <c r="A73" s="99">
        <f>A70</f>
        <v>0.5763888888888882</v>
      </c>
      <c r="B73" s="100">
        <f>B70+1</f>
        <v>58</v>
      </c>
      <c r="C73" s="78"/>
      <c r="D73" s="78" t="s">
        <v>67</v>
      </c>
      <c r="E73" s="103">
        <f>IF(J66="","",'Gruppen-Tabellen'!B3)</f>
      </c>
      <c r="F73" s="79" t="s">
        <v>9</v>
      </c>
      <c r="G73" s="104">
        <f>IF(J67="","",'Gruppen-Tabellen'!B16)</f>
      </c>
      <c r="H73" s="101"/>
      <c r="I73" s="79" t="s">
        <v>9</v>
      </c>
      <c r="J73" s="102"/>
    </row>
    <row r="74" spans="1:10" s="75" customFormat="1" ht="12.75">
      <c r="A74" s="82"/>
      <c r="B74" s="66"/>
      <c r="C74" s="81"/>
      <c r="D74" s="81"/>
      <c r="E74" s="80" t="s">
        <v>71</v>
      </c>
      <c r="F74" s="80"/>
      <c r="G74" s="80" t="s">
        <v>69</v>
      </c>
      <c r="H74" s="141"/>
      <c r="I74" s="141"/>
      <c r="J74" s="141"/>
    </row>
    <row r="77" spans="1:9" s="75" customFormat="1" ht="33" customHeight="1">
      <c r="A77" s="81"/>
      <c r="B77" s="66"/>
      <c r="C77" s="76"/>
      <c r="D77" s="76"/>
      <c r="E77" s="139" t="s">
        <v>80</v>
      </c>
      <c r="F77" s="139"/>
      <c r="G77" s="139"/>
      <c r="H77" s="81"/>
      <c r="I77" s="77"/>
    </row>
    <row r="78" spans="1:10" s="75" customFormat="1" ht="12.75" customHeight="1">
      <c r="A78" s="95">
        <f>A73+Vorgaben!$D$3+Vorgaben!$D$7</f>
        <v>0.590277777777777</v>
      </c>
      <c r="B78" s="66">
        <v>59</v>
      </c>
      <c r="C78" s="76"/>
      <c r="D78" s="76" t="s">
        <v>67</v>
      </c>
      <c r="E78" s="93">
        <f>IF(OR(H70="",J70=""),"",IF(H70&lt;J70,E70,IF(H70&gt;=J70,G70)))</f>
      </c>
      <c r="F78" s="81" t="s">
        <v>9</v>
      </c>
      <c r="G78" s="94">
        <f>IF(OR(H73="",J73=""),"",IF(H73&lt;J73,E73,IF(H73&gt;=J73,G73)))</f>
      </c>
      <c r="H78" s="83"/>
      <c r="I78" s="81" t="s">
        <v>9</v>
      </c>
      <c r="J78" s="84"/>
    </row>
    <row r="79" spans="1:10" s="75" customFormat="1" ht="12.75">
      <c r="A79" s="81"/>
      <c r="C79" s="76"/>
      <c r="D79" s="76"/>
      <c r="E79" s="80" t="s">
        <v>82</v>
      </c>
      <c r="F79" s="80"/>
      <c r="G79" s="80" t="s">
        <v>83</v>
      </c>
      <c r="H79" s="148"/>
      <c r="I79" s="148"/>
      <c r="J79" s="148"/>
    </row>
    <row r="80" spans="1:9" s="75" customFormat="1" ht="25.5" customHeight="1">
      <c r="A80" s="82"/>
      <c r="B80" s="66"/>
      <c r="C80" s="76"/>
      <c r="D80" s="85"/>
      <c r="E80" s="139" t="s">
        <v>70</v>
      </c>
      <c r="F80" s="139"/>
      <c r="G80" s="139"/>
      <c r="H80" s="77"/>
      <c r="I80" s="77"/>
    </row>
    <row r="81" spans="1:10" s="75" customFormat="1" ht="12" customHeight="1">
      <c r="A81" s="95">
        <f>A78</f>
        <v>0.590277777777777</v>
      </c>
      <c r="B81" s="66">
        <f>B78+1</f>
        <v>60</v>
      </c>
      <c r="C81" s="76"/>
      <c r="D81" s="76" t="s">
        <v>66</v>
      </c>
      <c r="E81" s="93">
        <f>IF(OR(H70="",J70=""),"",IF(H70&lt;J70,G70,IF(H70&gt;=J70,E70)))</f>
      </c>
      <c r="F81" s="81" t="s">
        <v>9</v>
      </c>
      <c r="G81" s="94">
        <f>IF(OR(H73="",J73=""),"",IF(H73&lt;J73,G73,IF(H73&gt;=J73,E73)))</f>
      </c>
      <c r="H81" s="83"/>
      <c r="I81" s="81" t="s">
        <v>9</v>
      </c>
      <c r="J81" s="84"/>
    </row>
    <row r="82" spans="1:10" s="75" customFormat="1" ht="12.75">
      <c r="A82" s="82"/>
      <c r="B82" s="66"/>
      <c r="C82" s="81"/>
      <c r="D82" s="81"/>
      <c r="E82" s="80" t="s">
        <v>84</v>
      </c>
      <c r="F82" s="80"/>
      <c r="G82" s="80" t="s">
        <v>85</v>
      </c>
      <c r="H82" s="148"/>
      <c r="I82" s="148"/>
      <c r="J82" s="148"/>
    </row>
    <row r="83" spans="1:9" s="75" customFormat="1" ht="24" customHeight="1">
      <c r="A83" s="153" t="s">
        <v>73</v>
      </c>
      <c r="B83" s="153"/>
      <c r="C83" s="153"/>
      <c r="D83" s="153"/>
      <c r="E83" s="81"/>
      <c r="G83" s="81"/>
      <c r="I83" s="81"/>
    </row>
    <row r="84" spans="1:9" s="75" customFormat="1" ht="16.5" customHeight="1">
      <c r="A84" s="72"/>
      <c r="B84" s="72"/>
      <c r="C84" s="72"/>
      <c r="D84" s="86" t="s">
        <v>74</v>
      </c>
      <c r="E84" s="136">
        <f>IF(OR(H81="",J81=""),"",IF(H81&lt;J81,G81,IF(H81&gt;=J81,E81)))</f>
      </c>
      <c r="F84" s="137"/>
      <c r="G84" s="138"/>
      <c r="I84" s="81"/>
    </row>
    <row r="85" spans="1:9" s="75" customFormat="1" ht="16.5" customHeight="1">
      <c r="A85" s="72"/>
      <c r="B85" s="72"/>
      <c r="C85" s="72"/>
      <c r="D85" s="86" t="s">
        <v>75</v>
      </c>
      <c r="E85" s="136">
        <f>IF(OR(H81="",J81=""),"",IF(H81&lt;J81,E81,IF(H81&gt;=J81,G81)))</f>
      </c>
      <c r="F85" s="137"/>
      <c r="G85" s="138"/>
      <c r="I85" s="81"/>
    </row>
    <row r="86" spans="1:9" s="75" customFormat="1" ht="16.5" customHeight="1">
      <c r="A86" s="72"/>
      <c r="B86" s="72"/>
      <c r="C86" s="72"/>
      <c r="D86" s="86" t="s">
        <v>76</v>
      </c>
      <c r="E86" s="136">
        <f>IF(OR(H78="",J78=""),"",IF(H78&lt;J78,G78,IF(H78&gt;=J78,E78)))</f>
      </c>
      <c r="F86" s="137"/>
      <c r="G86" s="138"/>
      <c r="I86" s="81"/>
    </row>
    <row r="87" spans="1:9" s="75" customFormat="1" ht="16.5" customHeight="1">
      <c r="A87" s="72"/>
      <c r="B87" s="72"/>
      <c r="C87" s="72"/>
      <c r="D87" s="86" t="s">
        <v>77</v>
      </c>
      <c r="E87" s="136">
        <f>IF(OR(H78="",J78=""),"",IF(H78&lt;J78,E78,IF(H78&gt;=J78,G78)))</f>
      </c>
      <c r="F87" s="137"/>
      <c r="G87" s="138"/>
      <c r="I87" s="81"/>
    </row>
    <row r="89" spans="1:10" ht="32.25" customHeight="1">
      <c r="A89" s="152" t="s">
        <v>45</v>
      </c>
      <c r="B89" s="152"/>
      <c r="C89" s="152"/>
      <c r="D89" s="152"/>
      <c r="E89" s="152"/>
      <c r="F89" s="152"/>
      <c r="G89" s="152"/>
      <c r="H89" s="152"/>
      <c r="I89" s="152"/>
      <c r="J89" s="152"/>
    </row>
  </sheetData>
  <sheetProtection password="E760" sheet="1" objects="1" scenarios="1"/>
  <mergeCells count="35">
    <mergeCell ref="A6:D6"/>
    <mergeCell ref="A7:D7"/>
    <mergeCell ref="H11:J11"/>
    <mergeCell ref="A10:E10"/>
    <mergeCell ref="C11:D11"/>
    <mergeCell ref="A89:J89"/>
    <mergeCell ref="H82:J82"/>
    <mergeCell ref="A83:D83"/>
    <mergeCell ref="E84:G84"/>
    <mergeCell ref="E85:G85"/>
    <mergeCell ref="G2:H2"/>
    <mergeCell ref="G3:H3"/>
    <mergeCell ref="G4:H4"/>
    <mergeCell ref="G5:H5"/>
    <mergeCell ref="G6:H6"/>
    <mergeCell ref="H79:J79"/>
    <mergeCell ref="A1:D1"/>
    <mergeCell ref="A2:D2"/>
    <mergeCell ref="A3:D3"/>
    <mergeCell ref="G1:H1"/>
    <mergeCell ref="A8:D8"/>
    <mergeCell ref="A9:D9"/>
    <mergeCell ref="A4:D4"/>
    <mergeCell ref="A5:D5"/>
    <mergeCell ref="G7:H7"/>
    <mergeCell ref="G8:H8"/>
    <mergeCell ref="E86:G86"/>
    <mergeCell ref="E87:G87"/>
    <mergeCell ref="E77:G77"/>
    <mergeCell ref="E80:G80"/>
    <mergeCell ref="G9:H9"/>
    <mergeCell ref="E69:G69"/>
    <mergeCell ref="H71:J71"/>
    <mergeCell ref="E72:G72"/>
    <mergeCell ref="H74:J74"/>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38" max="255" man="1"/>
    <brk id="67" max="255" man="1"/>
  </rowBreaks>
  <ignoredErrors>
    <ignoredError sqref="E13:E67 G13:G67" formula="1"/>
  </ignoredErrors>
  <legacyDrawing r:id="rId1"/>
</worksheet>
</file>

<file path=xl/worksheets/sheet5.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B19" sqref="B19"/>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56" t="s">
        <v>32</v>
      </c>
      <c r="C1" s="157"/>
      <c r="D1" s="157"/>
      <c r="E1" s="157"/>
      <c r="F1" s="157"/>
      <c r="G1" s="157"/>
      <c r="H1" s="157"/>
      <c r="I1" s="26"/>
      <c r="J1" s="26"/>
      <c r="K1" s="26"/>
      <c r="L1" s="26"/>
      <c r="M1" s="26"/>
      <c r="N1" s="26"/>
      <c r="O1" s="26"/>
    </row>
    <row r="2" spans="1:9" ht="30" customHeight="1">
      <c r="A2" s="59" t="s">
        <v>31</v>
      </c>
      <c r="B2" s="27" t="s">
        <v>29</v>
      </c>
      <c r="C2" s="28" t="s">
        <v>20</v>
      </c>
      <c r="D2" s="27" t="s">
        <v>0</v>
      </c>
      <c r="E2" s="158" t="s">
        <v>1</v>
      </c>
      <c r="F2" s="158"/>
      <c r="G2" s="158"/>
      <c r="H2" s="27" t="s">
        <v>21</v>
      </c>
      <c r="I2" s="29"/>
    </row>
    <row r="3" spans="1:15" s="58" customFormat="1" ht="18" customHeight="1">
      <c r="A3" s="32">
        <f>IF(Rechnen!$R$3=0,"",1)</f>
        <v>1</v>
      </c>
      <c r="B3" s="57" t="str">
        <f>Rechnen!K3</f>
        <v>Himmelsstürmer</v>
      </c>
      <c r="C3" s="57">
        <f>IF(Rechnen!$R$3=0,"",Rechnen!L3)</f>
        <v>1</v>
      </c>
      <c r="D3" s="57">
        <f>IF(Rechnen!$R$3=0,"",Rechnen!M3)</f>
        <v>3</v>
      </c>
      <c r="E3" s="57">
        <f>IF(Rechnen!$R$3=0,"",Rechnen!N3)</f>
        <v>2</v>
      </c>
      <c r="F3" s="33" t="s">
        <v>9</v>
      </c>
      <c r="G3" s="57">
        <f>IF(Rechnen!$R$3=0,"",Rechnen!P3)</f>
        <v>1</v>
      </c>
      <c r="H3" s="34">
        <f aca="true" t="shared" si="0" ref="H3:H10">IF(AND(E3="",G3=""),"",(E3-G3))</f>
        <v>1</v>
      </c>
      <c r="I3" s="35"/>
      <c r="J3" s="30"/>
      <c r="K3" s="30"/>
      <c r="L3" s="31"/>
      <c r="M3" s="30"/>
      <c r="N3" s="30"/>
      <c r="O3" s="30"/>
    </row>
    <row r="4" spans="1:15" s="58" customFormat="1" ht="18" customHeight="1">
      <c r="A4" s="32">
        <f>IF(Rechnen!$R$3=0,"",2)</f>
        <v>2</v>
      </c>
      <c r="B4" s="57" t="str">
        <f>Rechnen!K4</f>
        <v>Natural Born Kickers</v>
      </c>
      <c r="C4" s="57">
        <f>IF(Rechnen!$R$3=0,"",Rechnen!L4)</f>
        <v>0</v>
      </c>
      <c r="D4" s="57">
        <f>IF(Rechnen!$R$3=0,"",Rechnen!M4)</f>
        <v>0</v>
      </c>
      <c r="E4" s="57">
        <f>IF(Rechnen!$R$3=0,"",Rechnen!N4)</f>
        <v>0</v>
      </c>
      <c r="F4" s="33" t="s">
        <v>9</v>
      </c>
      <c r="G4" s="57">
        <f>IF(Rechnen!$R$3=0,"",Rechnen!P4)</f>
        <v>0</v>
      </c>
      <c r="H4" s="34">
        <f t="shared" si="0"/>
        <v>0</v>
      </c>
      <c r="I4" s="35"/>
      <c r="J4" s="30"/>
      <c r="K4" s="30"/>
      <c r="L4" s="31"/>
      <c r="M4" s="30"/>
      <c r="N4" s="30"/>
      <c r="O4" s="30"/>
    </row>
    <row r="5" spans="1:15" s="58" customFormat="1" ht="18" customHeight="1">
      <c r="A5" s="32">
        <f>IF(Rechnen!$R$3=0,"",3)</f>
        <v>3</v>
      </c>
      <c r="B5" s="57" t="str">
        <f>Rechnen!K5</f>
        <v>St. Peter's Russelbande</v>
      </c>
      <c r="C5" s="57">
        <f>IF(Rechnen!$R$3=0,"",Rechnen!L5)</f>
        <v>0</v>
      </c>
      <c r="D5" s="57">
        <f>IF(Rechnen!$R$3=0,"",Rechnen!M5)</f>
        <v>0</v>
      </c>
      <c r="E5" s="57">
        <f>IF(Rechnen!$R$3=0,"",Rechnen!N5)</f>
        <v>0</v>
      </c>
      <c r="F5" s="33" t="s">
        <v>9</v>
      </c>
      <c r="G5" s="57">
        <f>IF(Rechnen!$R$3=0,"",Rechnen!P5)</f>
        <v>0</v>
      </c>
      <c r="H5" s="34">
        <f t="shared" si="0"/>
        <v>0</v>
      </c>
      <c r="I5" s="35"/>
      <c r="J5" s="30"/>
      <c r="K5" s="30"/>
      <c r="L5" s="31"/>
      <c r="M5" s="30"/>
      <c r="N5" s="30"/>
      <c r="O5" s="30"/>
    </row>
    <row r="6" spans="1:15" s="58" customFormat="1" ht="18" customHeight="1">
      <c r="A6" s="32">
        <f>IF(Rechnen!$R$3=0,"",4)</f>
        <v>4</v>
      </c>
      <c r="B6" s="57" t="str">
        <f>Rechnen!K6</f>
        <v>Minis Rot</v>
      </c>
      <c r="C6" s="57">
        <f>IF(Rechnen!$R$3=0,"",Rechnen!L6)</f>
        <v>0</v>
      </c>
      <c r="D6" s="57">
        <f>IF(Rechnen!$R$3=0,"",Rechnen!M6)</f>
        <v>0</v>
      </c>
      <c r="E6" s="57">
        <f>IF(Rechnen!$R$3=0,"",Rechnen!N6)</f>
        <v>0</v>
      </c>
      <c r="F6" s="33" t="s">
        <v>9</v>
      </c>
      <c r="G6" s="57">
        <f>IF(Rechnen!$R$3=0,"",Rechnen!P6)</f>
        <v>0</v>
      </c>
      <c r="H6" s="34">
        <f t="shared" si="0"/>
        <v>0</v>
      </c>
      <c r="I6" s="35"/>
      <c r="J6" s="30"/>
      <c r="K6" s="30"/>
      <c r="L6" s="31"/>
      <c r="M6" s="30"/>
      <c r="N6" s="30"/>
      <c r="O6" s="30"/>
    </row>
    <row r="7" spans="1:15" s="58" customFormat="1" ht="18" customHeight="1">
      <c r="A7" s="32">
        <f>IF(Rechnen!$R$3=0,"",5)</f>
        <v>5</v>
      </c>
      <c r="B7" s="57" t="str">
        <f>Rechnen!K7</f>
        <v>Kampfkarnickel</v>
      </c>
      <c r="C7" s="57">
        <f>IF(Rechnen!$R$3=0,"",Rechnen!L7)</f>
        <v>0</v>
      </c>
      <c r="D7" s="57">
        <f>IF(Rechnen!$R$3=0,"",Rechnen!M7)</f>
        <v>0</v>
      </c>
      <c r="E7" s="57">
        <f>IF(Rechnen!$R$3=0,"",Rechnen!N7)</f>
        <v>0</v>
      </c>
      <c r="F7" s="33" t="s">
        <v>9</v>
      </c>
      <c r="G7" s="57">
        <f>IF(Rechnen!$R$3=0,"",Rechnen!P7)</f>
        <v>0</v>
      </c>
      <c r="H7" s="34">
        <f t="shared" si="0"/>
        <v>0</v>
      </c>
      <c r="I7" s="40"/>
      <c r="J7" s="38"/>
      <c r="K7" s="40"/>
      <c r="L7" s="37"/>
      <c r="M7" s="38"/>
      <c r="N7" s="39"/>
      <c r="O7" s="39"/>
    </row>
    <row r="8" spans="1:15" s="58" customFormat="1" ht="18" customHeight="1">
      <c r="A8" s="32">
        <f>IF(Rechnen!$R$3=0,"",6)</f>
        <v>6</v>
      </c>
      <c r="B8" s="57" t="str">
        <f>Rechnen!K8</f>
        <v>Minis Hl. Kreuz</v>
      </c>
      <c r="C8" s="57">
        <f>IF(Rechnen!$R$3=0,"",Rechnen!L8)</f>
        <v>0</v>
      </c>
      <c r="D8" s="57">
        <f>IF(Rechnen!$R$3=0,"",Rechnen!M8)</f>
        <v>0</v>
      </c>
      <c r="E8" s="57">
        <f>IF(Rechnen!$R$3=0,"",Rechnen!N8)</f>
        <v>0</v>
      </c>
      <c r="F8" s="33" t="s">
        <v>9</v>
      </c>
      <c r="G8" s="57">
        <f>IF(Rechnen!$R$3=0,"",Rechnen!P8)</f>
        <v>0</v>
      </c>
      <c r="H8" s="34">
        <f t="shared" si="0"/>
        <v>0</v>
      </c>
      <c r="I8" s="41"/>
      <c r="J8" s="42"/>
      <c r="K8" s="42"/>
      <c r="L8" s="42"/>
      <c r="M8" s="42"/>
      <c r="N8" s="42"/>
      <c r="O8" s="42"/>
    </row>
    <row r="9" spans="1:15" s="58" customFormat="1" ht="18" customHeight="1">
      <c r="A9" s="32">
        <f>IF(Rechnen!$R$3=0,"",7)</f>
        <v>7</v>
      </c>
      <c r="B9" s="57" t="str">
        <f>Rechnen!K9</f>
        <v>Minis Plankstadt </v>
      </c>
      <c r="C9" s="57">
        <f>IF(Rechnen!$R$3=0,"",Rechnen!L9)</f>
        <v>1</v>
      </c>
      <c r="D9" s="57">
        <f>IF(Rechnen!$R$3=0,"",Rechnen!M9)</f>
        <v>0</v>
      </c>
      <c r="E9" s="57">
        <f>IF(Rechnen!$R$3=0,"",Rechnen!N9)</f>
        <v>1</v>
      </c>
      <c r="F9" s="33" t="s">
        <v>9</v>
      </c>
      <c r="G9" s="57">
        <f>IF(Rechnen!$R$3=0,"",Rechnen!P9)</f>
        <v>2</v>
      </c>
      <c r="H9" s="34">
        <f t="shared" si="0"/>
        <v>-1</v>
      </c>
      <c r="I9" s="36"/>
      <c r="J9" s="30"/>
      <c r="K9" s="30"/>
      <c r="L9" s="31"/>
      <c r="M9" s="30"/>
      <c r="N9" s="30"/>
      <c r="O9" s="30"/>
    </row>
    <row r="10" spans="1:15" s="58" customFormat="1" ht="18" customHeight="1">
      <c r="A10" s="32">
        <f>IF(Rechnen!$R$3=0,"",8)</f>
        <v>8</v>
      </c>
      <c r="B10" s="57" t="str">
        <f>Rechnen!K10</f>
        <v>KJG Burner</v>
      </c>
      <c r="C10" s="57">
        <f>IF(Rechnen!$R$3=0,"",Rechnen!L10)</f>
        <v>0</v>
      </c>
      <c r="D10" s="57">
        <f>IF(Rechnen!$R$3=0,"",Rechnen!M10)</f>
        <v>0</v>
      </c>
      <c r="E10" s="57">
        <f>IF(Rechnen!$R$3=0,"",Rechnen!N10)</f>
        <v>0</v>
      </c>
      <c r="F10" s="33" t="s">
        <v>9</v>
      </c>
      <c r="G10" s="57">
        <f>IF(Rechnen!$R$3=0,"",Rechnen!P10)</f>
        <v>0</v>
      </c>
      <c r="H10" s="34">
        <f t="shared" si="0"/>
        <v>0</v>
      </c>
      <c r="I10" s="31"/>
      <c r="J10" s="30"/>
      <c r="K10" s="30"/>
      <c r="L10" s="31"/>
      <c r="M10" s="30"/>
      <c r="N10" s="30"/>
      <c r="O10" s="30"/>
    </row>
    <row r="11" spans="1:15" s="58" customFormat="1" ht="18" customHeight="1">
      <c r="A11" s="30"/>
      <c r="B11" s="30"/>
      <c r="C11" s="30"/>
      <c r="D11" s="30"/>
      <c r="E11" s="30"/>
      <c r="F11" s="30"/>
      <c r="G11" s="30"/>
      <c r="H11" s="30"/>
      <c r="I11" s="31"/>
      <c r="J11" s="30"/>
      <c r="K11" s="30"/>
      <c r="L11" s="31"/>
      <c r="M11" s="30"/>
      <c r="N11" s="30"/>
      <c r="O11" s="30"/>
    </row>
    <row r="12" spans="1:15" ht="75" customHeight="1">
      <c r="A12" s="59"/>
      <c r="B12" s="154" t="s">
        <v>33</v>
      </c>
      <c r="C12" s="155"/>
      <c r="D12" s="155"/>
      <c r="E12" s="155"/>
      <c r="F12" s="155"/>
      <c r="G12" s="155"/>
      <c r="H12" s="155"/>
      <c r="I12" s="26"/>
      <c r="J12" s="26"/>
      <c r="K12" s="26"/>
      <c r="L12" s="26"/>
      <c r="M12" s="26"/>
      <c r="N12" s="26"/>
      <c r="O12" s="26"/>
    </row>
    <row r="13" spans="1:8" ht="18" customHeight="1">
      <c r="A13" s="159" t="s">
        <v>31</v>
      </c>
      <c r="B13" s="158" t="s">
        <v>30</v>
      </c>
      <c r="C13" s="162" t="s">
        <v>20</v>
      </c>
      <c r="D13" s="158" t="s">
        <v>0</v>
      </c>
      <c r="E13" s="158" t="s">
        <v>1</v>
      </c>
      <c r="F13" s="158"/>
      <c r="G13" s="158"/>
      <c r="H13" s="158" t="s">
        <v>21</v>
      </c>
    </row>
    <row r="14" spans="1:8" ht="15" customHeight="1">
      <c r="A14" s="160"/>
      <c r="B14" s="161"/>
      <c r="C14" s="163"/>
      <c r="D14" s="161"/>
      <c r="E14" s="161"/>
      <c r="F14" s="161"/>
      <c r="G14" s="161"/>
      <c r="H14" s="161"/>
    </row>
    <row r="15" spans="1:15" s="58" customFormat="1" ht="15">
      <c r="A15" s="32">
        <f>IF(Rechnen!$R$17=0,"",1)</f>
      </c>
      <c r="B15" s="57" t="str">
        <f>Rechnen!K17</f>
        <v>Mondspritzer Nußloch</v>
      </c>
      <c r="C15" s="57">
        <f>IF(Rechnen!$R$17=0,"",Rechnen!L17)</f>
      </c>
      <c r="D15" s="57">
        <f>IF(Rechnen!$R$17=0,"",Rechnen!M17)</f>
      </c>
      <c r="E15" s="57">
        <f>IF(Rechnen!$R$17=0,"",Rechnen!N17)</f>
      </c>
      <c r="F15" s="33" t="s">
        <v>9</v>
      </c>
      <c r="G15" s="57">
        <f>IF(Rechnen!$R$17=0,"",Rechnen!P17)</f>
      </c>
      <c r="H15" s="34">
        <f aca="true" t="shared" si="1" ref="H15:H22">IF(AND(E15="",G15=""),"",(E15-G15))</f>
      </c>
      <c r="I15" s="31"/>
      <c r="J15" s="30"/>
      <c r="K15" s="30"/>
      <c r="L15" s="31"/>
      <c r="M15" s="30"/>
      <c r="N15" s="30"/>
      <c r="O15" s="30"/>
    </row>
    <row r="16" spans="1:15" s="58" customFormat="1" ht="15">
      <c r="A16" s="32">
        <f>IF(Rechnen!$R$17=0,"",2)</f>
      </c>
      <c r="B16" s="57" t="str">
        <f>Rechnen!K18</f>
        <v>KJG Brühl</v>
      </c>
      <c r="C16" s="57">
        <f>IF(Rechnen!$R$17=0,"",Rechnen!L18)</f>
      </c>
      <c r="D16" s="57">
        <f>IF(Rechnen!$R$17=0,"",Rechnen!M18)</f>
      </c>
      <c r="E16" s="57">
        <f>IF(Rechnen!$R$17=0,"",Rechnen!N18)</f>
      </c>
      <c r="F16" s="33" t="s">
        <v>9</v>
      </c>
      <c r="G16" s="57">
        <f>IF(Rechnen!$R$17=0,"",Rechnen!P18)</f>
      </c>
      <c r="H16" s="34">
        <f t="shared" si="1"/>
      </c>
      <c r="I16" s="31"/>
      <c r="J16" s="30"/>
      <c r="K16" s="30"/>
      <c r="L16" s="31"/>
      <c r="M16" s="30"/>
      <c r="N16" s="30"/>
      <c r="O16" s="30"/>
    </row>
    <row r="17" spans="1:15" s="58" customFormat="1" ht="15">
      <c r="A17" s="32">
        <f>IF(Rechnen!$R$17=0,"",3)</f>
      </c>
      <c r="B17" s="57" t="str">
        <f>Rechnen!K19</f>
        <v>Inter Heiland</v>
      </c>
      <c r="C17" s="57">
        <f>IF(Rechnen!$R$17=0,"",Rechnen!L19)</f>
      </c>
      <c r="D17" s="57">
        <f>IF(Rechnen!$R$17=0,"",Rechnen!M19)</f>
      </c>
      <c r="E17" s="57">
        <f>IF(Rechnen!$R$17=0,"",Rechnen!N19)</f>
      </c>
      <c r="F17" s="33" t="s">
        <v>9</v>
      </c>
      <c r="G17" s="57">
        <f>IF(Rechnen!$R$17=0,"",Rechnen!P19)</f>
      </c>
      <c r="H17" s="34">
        <f t="shared" si="1"/>
      </c>
      <c r="I17" s="31"/>
      <c r="J17" s="30"/>
      <c r="K17" s="30"/>
      <c r="L17" s="31"/>
      <c r="M17" s="30"/>
      <c r="N17" s="30"/>
      <c r="O17" s="30"/>
    </row>
    <row r="18" spans="1:15" s="58" customFormat="1" ht="15">
      <c r="A18" s="32">
        <f>IF(Rechnen!$R$17=0,"",4)</f>
      </c>
      <c r="B18" s="57" t="str">
        <f>Rechnen!K20</f>
        <v>KJG Wiesloch</v>
      </c>
      <c r="C18" s="57">
        <f>IF(Rechnen!$R$17=0,"",Rechnen!L20)</f>
      </c>
      <c r="D18" s="57">
        <f>IF(Rechnen!$R$17=0,"",Rechnen!M20)</f>
      </c>
      <c r="E18" s="57">
        <f>IF(Rechnen!$R$17=0,"",Rechnen!N20)</f>
      </c>
      <c r="F18" s="33" t="s">
        <v>9</v>
      </c>
      <c r="G18" s="57">
        <f>IF(Rechnen!$R$17=0,"",Rechnen!P20)</f>
      </c>
      <c r="H18" s="34">
        <f t="shared" si="1"/>
      </c>
      <c r="I18" s="31"/>
      <c r="J18" s="30"/>
      <c r="K18" s="30"/>
      <c r="L18" s="31"/>
      <c r="M18" s="30"/>
      <c r="N18" s="30"/>
      <c r="O18" s="30"/>
    </row>
    <row r="19" spans="1:15" s="58" customFormat="1" ht="15">
      <c r="A19" s="32">
        <f>IF(Rechnen!$R$17=0,"",5)</f>
      </c>
      <c r="B19" s="57" t="str">
        <f>Rechnen!K21</f>
        <v>Minis St. Nikolaus</v>
      </c>
      <c r="C19" s="57">
        <f>IF(Rechnen!$R$17=0,"",Rechnen!L21)</f>
      </c>
      <c r="D19" s="57">
        <f>IF(Rechnen!$R$17=0,"",Rechnen!M21)</f>
      </c>
      <c r="E19" s="57">
        <f>IF(Rechnen!$R$17=0,"",Rechnen!N21)</f>
      </c>
      <c r="F19" s="33" t="s">
        <v>9</v>
      </c>
      <c r="G19" s="57">
        <f>IF(Rechnen!$R$17=0,"",Rechnen!P21)</f>
      </c>
      <c r="H19" s="34">
        <f t="shared" si="1"/>
      </c>
      <c r="I19" s="31"/>
      <c r="J19" s="30"/>
      <c r="K19" s="30"/>
      <c r="L19" s="31"/>
      <c r="M19" s="30"/>
      <c r="N19" s="30"/>
      <c r="O19" s="30"/>
    </row>
    <row r="20" spans="1:15" s="58" customFormat="1" ht="15">
      <c r="A20" s="32">
        <f>IF(Rechnen!$R$17=0,"",6)</f>
      </c>
      <c r="B20" s="57" t="str">
        <f>Rechnen!K17</f>
        <v>Mondspritzer Nußloch</v>
      </c>
      <c r="C20" s="57">
        <f>IF(Rechnen!$R$17=0,"",Rechnen!L22)</f>
      </c>
      <c r="D20" s="57">
        <f>IF(Rechnen!$R$17=0,"",Rechnen!M22)</f>
      </c>
      <c r="E20" s="57">
        <f>IF(Rechnen!$R$17=0,"",Rechnen!N22)</f>
      </c>
      <c r="F20" s="33" t="s">
        <v>9</v>
      </c>
      <c r="G20" s="57">
        <f>IF(Rechnen!$R$17=0,"",Rechnen!P22)</f>
      </c>
      <c r="H20" s="34">
        <f t="shared" si="1"/>
      </c>
      <c r="I20" s="31"/>
      <c r="J20" s="30"/>
      <c r="K20" s="30"/>
      <c r="L20" s="31"/>
      <c r="M20" s="30"/>
      <c r="N20" s="30"/>
      <c r="O20" s="30"/>
    </row>
    <row r="21" spans="1:15" s="58" customFormat="1" ht="15">
      <c r="A21" s="32">
        <f>IF(Rechnen!$R$17=0,"",7)</f>
      </c>
      <c r="B21" s="57" t="str">
        <f>Rechnen!K23</f>
        <v>FC Teufelskicker Engelhausen</v>
      </c>
      <c r="C21" s="57">
        <f>IF(Rechnen!$R$17=0,"",Rechnen!L23)</f>
      </c>
      <c r="D21" s="57">
        <f>IF(Rechnen!$R$17=0,"",Rechnen!M23)</f>
      </c>
      <c r="E21" s="57">
        <f>IF(Rechnen!$R$17=0,"",Rechnen!N23)</f>
      </c>
      <c r="F21" s="33" t="s">
        <v>9</v>
      </c>
      <c r="G21" s="57">
        <f>IF(Rechnen!$R$17=0,"",Rechnen!P23)</f>
      </c>
      <c r="H21" s="34">
        <f t="shared" si="1"/>
      </c>
      <c r="I21" s="31"/>
      <c r="J21" s="30"/>
      <c r="K21" s="30"/>
      <c r="L21" s="31"/>
      <c r="M21" s="30"/>
      <c r="N21" s="30"/>
      <c r="O21" s="30"/>
    </row>
    <row r="22" spans="1:8" ht="15">
      <c r="A22" s="32">
        <f>IF(Rechnen!$R$18=0,"",8)</f>
      </c>
      <c r="B22" s="57" t="str">
        <f>Rechnen!K24</f>
        <v>Miniators</v>
      </c>
      <c r="C22" s="57">
        <f>IF(Rechnen!$R$17=0,"",Rechnen!L24)</f>
      </c>
      <c r="D22" s="57">
        <f>IF(Rechnen!$R$17=0,"",Rechnen!M24)</f>
      </c>
      <c r="E22" s="57">
        <f>IF(Rechnen!$R$17=0,"",Rechnen!N24)</f>
      </c>
      <c r="F22" s="33" t="s">
        <v>9</v>
      </c>
      <c r="G22" s="57">
        <f>IF(Rechnen!$R$17=0,"",Rechnen!P24)</f>
      </c>
      <c r="H22" s="34">
        <f t="shared" si="1"/>
      </c>
    </row>
  </sheetData>
  <sheetProtection password="E760" sheet="1" objects="1" scenarios="1"/>
  <mergeCells count="9">
    <mergeCell ref="B12:H12"/>
    <mergeCell ref="B1:H1"/>
    <mergeCell ref="E2:G2"/>
    <mergeCell ref="A13:A14"/>
    <mergeCell ref="B13:B14"/>
    <mergeCell ref="C13:C14"/>
    <mergeCell ref="D13:D14"/>
    <mergeCell ref="E13:G14"/>
    <mergeCell ref="H13:H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2006&amp;"Arial,Standard"&amp;10
&amp;12Stadion-Halle - Wiesloch &amp;R&amp;"Arial,Fett"&amp;12 03.12.2006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1"/>
  <dimension ref="A1:O22"/>
  <sheetViews>
    <sheetView tabSelected="1"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56" t="s">
        <v>63</v>
      </c>
      <c r="C1" s="157"/>
      <c r="D1" s="157"/>
      <c r="E1" s="157"/>
      <c r="F1" s="157"/>
      <c r="G1" s="157"/>
      <c r="H1" s="157"/>
      <c r="I1" s="26"/>
      <c r="J1" s="26"/>
      <c r="K1" s="26"/>
      <c r="L1" s="26"/>
      <c r="M1" s="26"/>
      <c r="N1" s="26"/>
      <c r="O1" s="26"/>
    </row>
    <row r="2" spans="1:9" ht="30" customHeight="1">
      <c r="A2" s="59" t="s">
        <v>31</v>
      </c>
      <c r="B2" s="27" t="s">
        <v>47</v>
      </c>
      <c r="C2" s="28" t="s">
        <v>20</v>
      </c>
      <c r="D2" s="27" t="s">
        <v>0</v>
      </c>
      <c r="E2" s="158" t="s">
        <v>1</v>
      </c>
      <c r="F2" s="158"/>
      <c r="G2" s="158"/>
      <c r="H2" s="27" t="s">
        <v>21</v>
      </c>
      <c r="I2" s="29"/>
    </row>
    <row r="3" spans="1:15" s="58" customFormat="1" ht="18" customHeight="1">
      <c r="A3" s="32">
        <f>IF(Rechnen!$R$3=0,"",1)</f>
        <v>1</v>
      </c>
      <c r="B3" s="57" t="str">
        <f>Rechnen!K3</f>
        <v>Himmelsstürmer</v>
      </c>
      <c r="C3" s="57">
        <f>IF(Rechnen!$R$3=0,"",Rechnen!L3)</f>
        <v>1</v>
      </c>
      <c r="D3" s="57">
        <f>IF(Rechnen!$R$3=0,"",Rechnen!M3)</f>
        <v>3</v>
      </c>
      <c r="E3" s="57">
        <f>IF(Rechnen!$R$3=0,"",Rechnen!N3)</f>
        <v>2</v>
      </c>
      <c r="F3" s="33" t="s">
        <v>9</v>
      </c>
      <c r="G3" s="57">
        <f>IF(Rechnen!$R$3=0,"",Rechnen!P3)</f>
        <v>1</v>
      </c>
      <c r="H3" s="34">
        <f aca="true" t="shared" si="0" ref="H3:H10">IF(AND(E3="",G3=""),"",(E3-G3))</f>
        <v>1</v>
      </c>
      <c r="I3" s="35"/>
      <c r="J3" s="30"/>
      <c r="K3" s="30"/>
      <c r="L3" s="31"/>
      <c r="M3" s="30"/>
      <c r="N3" s="30"/>
      <c r="O3" s="30"/>
    </row>
    <row r="4" spans="1:15" s="58" customFormat="1" ht="18" customHeight="1">
      <c r="A4" s="32">
        <f>IF(Rechnen!$R$3=0,"",2)</f>
        <v>2</v>
      </c>
      <c r="B4" s="57" t="str">
        <f>Rechnen!K4</f>
        <v>Natural Born Kickers</v>
      </c>
      <c r="C4" s="57">
        <f>IF(Rechnen!$R$3=0,"",Rechnen!L4)</f>
        <v>0</v>
      </c>
      <c r="D4" s="57">
        <f>IF(Rechnen!$R$3=0,"",Rechnen!M4)</f>
        <v>0</v>
      </c>
      <c r="E4" s="57">
        <f>IF(Rechnen!$R$3=0,"",Rechnen!N4)</f>
        <v>0</v>
      </c>
      <c r="F4" s="33" t="s">
        <v>9</v>
      </c>
      <c r="G4" s="57">
        <f>IF(Rechnen!$R$3=0,"",Rechnen!P4)</f>
        <v>0</v>
      </c>
      <c r="H4" s="34">
        <f t="shared" si="0"/>
        <v>0</v>
      </c>
      <c r="I4" s="35"/>
      <c r="J4" s="30"/>
      <c r="K4" s="30"/>
      <c r="L4" s="31"/>
      <c r="M4" s="30"/>
      <c r="N4" s="30"/>
      <c r="O4" s="30"/>
    </row>
    <row r="5" spans="1:15" s="58" customFormat="1" ht="18" customHeight="1">
      <c r="A5" s="32">
        <f>IF(Rechnen!$R$3=0,"",3)</f>
        <v>3</v>
      </c>
      <c r="B5" s="57" t="str">
        <f>Rechnen!K5</f>
        <v>St. Peter's Russelbande</v>
      </c>
      <c r="C5" s="57">
        <f>IF(Rechnen!$R$3=0,"",Rechnen!L5)</f>
        <v>0</v>
      </c>
      <c r="D5" s="57">
        <f>IF(Rechnen!$R$3=0,"",Rechnen!M5)</f>
        <v>0</v>
      </c>
      <c r="E5" s="57">
        <f>IF(Rechnen!$R$3=0,"",Rechnen!N5)</f>
        <v>0</v>
      </c>
      <c r="F5" s="33" t="s">
        <v>9</v>
      </c>
      <c r="G5" s="57">
        <f>IF(Rechnen!$R$3=0,"",Rechnen!P5)</f>
        <v>0</v>
      </c>
      <c r="H5" s="34">
        <f t="shared" si="0"/>
        <v>0</v>
      </c>
      <c r="I5" s="35"/>
      <c r="J5" s="30"/>
      <c r="K5" s="30"/>
      <c r="L5" s="31"/>
      <c r="M5" s="30"/>
      <c r="N5" s="30"/>
      <c r="O5" s="30"/>
    </row>
    <row r="6" spans="1:15" s="58" customFormat="1" ht="18" customHeight="1">
      <c r="A6" s="32">
        <f>IF(Rechnen!$R$3=0,"",4)</f>
        <v>4</v>
      </c>
      <c r="B6" s="57" t="str">
        <f>Rechnen!K6</f>
        <v>Minis Rot</v>
      </c>
      <c r="C6" s="57">
        <f>IF(Rechnen!$R$3=0,"",Rechnen!L6)</f>
        <v>0</v>
      </c>
      <c r="D6" s="57">
        <f>IF(Rechnen!$R$3=0,"",Rechnen!M6)</f>
        <v>0</v>
      </c>
      <c r="E6" s="57">
        <f>IF(Rechnen!$R$3=0,"",Rechnen!N6)</f>
        <v>0</v>
      </c>
      <c r="F6" s="33" t="s">
        <v>9</v>
      </c>
      <c r="G6" s="57">
        <f>IF(Rechnen!$R$3=0,"",Rechnen!P6)</f>
        <v>0</v>
      </c>
      <c r="H6" s="34">
        <f t="shared" si="0"/>
        <v>0</v>
      </c>
      <c r="I6" s="35"/>
      <c r="J6" s="30"/>
      <c r="K6" s="30"/>
      <c r="L6" s="31"/>
      <c r="M6" s="30"/>
      <c r="N6" s="30"/>
      <c r="O6" s="30"/>
    </row>
    <row r="7" spans="1:15" s="58" customFormat="1" ht="18" customHeight="1">
      <c r="A7" s="32">
        <f>IF(Rechnen!$R$3=0,"",5)</f>
        <v>5</v>
      </c>
      <c r="B7" s="57" t="str">
        <f>Rechnen!K7</f>
        <v>Kampfkarnickel</v>
      </c>
      <c r="C7" s="57">
        <f>IF(Rechnen!$R$3=0,"",Rechnen!L7)</f>
        <v>0</v>
      </c>
      <c r="D7" s="57">
        <f>IF(Rechnen!$R$3=0,"",Rechnen!M7)</f>
        <v>0</v>
      </c>
      <c r="E7" s="57">
        <f>IF(Rechnen!$R$3=0,"",Rechnen!N7)</f>
        <v>0</v>
      </c>
      <c r="F7" s="33" t="s">
        <v>9</v>
      </c>
      <c r="G7" s="57">
        <f>IF(Rechnen!$R$3=0,"",Rechnen!P7)</f>
        <v>0</v>
      </c>
      <c r="H7" s="34">
        <f t="shared" si="0"/>
        <v>0</v>
      </c>
      <c r="I7" s="40"/>
      <c r="J7" s="38"/>
      <c r="K7" s="40"/>
      <c r="L7" s="37"/>
      <c r="M7" s="38"/>
      <c r="N7" s="39"/>
      <c r="O7" s="39"/>
    </row>
    <row r="8" spans="1:15" s="58" customFormat="1" ht="18" customHeight="1">
      <c r="A8" s="32">
        <f>IF(Rechnen!$R$3=0,"",6)</f>
        <v>6</v>
      </c>
      <c r="B8" s="57" t="str">
        <f>Rechnen!K8</f>
        <v>Minis Hl. Kreuz</v>
      </c>
      <c r="C8" s="57">
        <f>IF(Rechnen!$R$3=0,"",Rechnen!L8)</f>
        <v>0</v>
      </c>
      <c r="D8" s="57">
        <f>IF(Rechnen!$R$3=0,"",Rechnen!M8)</f>
        <v>0</v>
      </c>
      <c r="E8" s="57">
        <f>IF(Rechnen!$R$3=0,"",Rechnen!N8)</f>
        <v>0</v>
      </c>
      <c r="F8" s="33" t="s">
        <v>9</v>
      </c>
      <c r="G8" s="57">
        <f>IF(Rechnen!$R$3=0,"",Rechnen!P8)</f>
        <v>0</v>
      </c>
      <c r="H8" s="34">
        <f t="shared" si="0"/>
        <v>0</v>
      </c>
      <c r="I8" s="41"/>
      <c r="J8" s="42"/>
      <c r="K8" s="42"/>
      <c r="L8" s="42"/>
      <c r="M8" s="42"/>
      <c r="N8" s="42"/>
      <c r="O8" s="42"/>
    </row>
    <row r="9" spans="1:15" s="58" customFormat="1" ht="18" customHeight="1">
      <c r="A9" s="32">
        <f>IF(Rechnen!$R$3=0,"",7)</f>
        <v>7</v>
      </c>
      <c r="B9" s="57" t="str">
        <f>Rechnen!K9</f>
        <v>Minis Plankstadt </v>
      </c>
      <c r="C9" s="57">
        <f>IF(Rechnen!$R$3=0,"",Rechnen!L9)</f>
        <v>1</v>
      </c>
      <c r="D9" s="57">
        <f>IF(Rechnen!$R$3=0,"",Rechnen!M9)</f>
        <v>0</v>
      </c>
      <c r="E9" s="57">
        <f>IF(Rechnen!$R$3=0,"",Rechnen!N9)</f>
        <v>1</v>
      </c>
      <c r="F9" s="33" t="s">
        <v>9</v>
      </c>
      <c r="G9" s="57">
        <f>IF(Rechnen!$R$3=0,"",Rechnen!P9)</f>
        <v>2</v>
      </c>
      <c r="H9" s="34">
        <f t="shared" si="0"/>
        <v>-1</v>
      </c>
      <c r="I9" s="36"/>
      <c r="J9" s="30"/>
      <c r="K9" s="30"/>
      <c r="L9" s="31"/>
      <c r="M9" s="30"/>
      <c r="N9" s="30"/>
      <c r="O9" s="30"/>
    </row>
    <row r="10" spans="1:15" s="58" customFormat="1" ht="18" customHeight="1">
      <c r="A10" s="32">
        <f>IF(Rechnen!$R$3=0,"",8)</f>
        <v>8</v>
      </c>
      <c r="B10" s="57" t="str">
        <f>Rechnen!K10</f>
        <v>KJG Burner</v>
      </c>
      <c r="C10" s="57">
        <f>IF(Rechnen!$R$3=0,"",Rechnen!L10)</f>
        <v>0</v>
      </c>
      <c r="D10" s="57">
        <f>IF(Rechnen!$R$3=0,"",Rechnen!M10)</f>
        <v>0</v>
      </c>
      <c r="E10" s="57">
        <f>IF(Rechnen!$R$3=0,"",Rechnen!N10)</f>
        <v>0</v>
      </c>
      <c r="F10" s="33" t="s">
        <v>9</v>
      </c>
      <c r="G10" s="57">
        <f>IF(Rechnen!$R$3=0,"",Rechnen!P10)</f>
        <v>0</v>
      </c>
      <c r="H10" s="34">
        <f t="shared" si="0"/>
        <v>0</v>
      </c>
      <c r="I10" s="31"/>
      <c r="J10" s="30"/>
      <c r="K10" s="30"/>
      <c r="L10" s="31"/>
      <c r="M10" s="30"/>
      <c r="N10" s="30"/>
      <c r="O10" s="30"/>
    </row>
    <row r="11" spans="1:15" s="58" customFormat="1" ht="18" customHeight="1">
      <c r="A11" s="30"/>
      <c r="B11" s="30"/>
      <c r="C11" s="30"/>
      <c r="D11" s="30"/>
      <c r="E11" s="30"/>
      <c r="F11" s="30"/>
      <c r="G11" s="30"/>
      <c r="H11" s="30"/>
      <c r="I11" s="31"/>
      <c r="J11" s="30"/>
      <c r="K11" s="30"/>
      <c r="L11" s="31"/>
      <c r="M11" s="30"/>
      <c r="N11" s="30"/>
      <c r="O11" s="30"/>
    </row>
    <row r="12" spans="1:15" ht="75" customHeight="1">
      <c r="A12" s="59"/>
      <c r="B12" s="154" t="s">
        <v>62</v>
      </c>
      <c r="C12" s="155"/>
      <c r="D12" s="155"/>
      <c r="E12" s="155"/>
      <c r="F12" s="155"/>
      <c r="G12" s="155"/>
      <c r="H12" s="155"/>
      <c r="I12" s="26"/>
      <c r="J12" s="26"/>
      <c r="K12" s="26"/>
      <c r="L12" s="26"/>
      <c r="M12" s="26"/>
      <c r="N12" s="26"/>
      <c r="O12" s="26"/>
    </row>
    <row r="13" spans="1:8" ht="18" customHeight="1">
      <c r="A13" s="159" t="s">
        <v>31</v>
      </c>
      <c r="B13" s="158" t="s">
        <v>48</v>
      </c>
      <c r="C13" s="162" t="s">
        <v>20</v>
      </c>
      <c r="D13" s="158" t="s">
        <v>0</v>
      </c>
      <c r="E13" s="158" t="s">
        <v>1</v>
      </c>
      <c r="F13" s="158"/>
      <c r="G13" s="158"/>
      <c r="H13" s="158" t="s">
        <v>21</v>
      </c>
    </row>
    <row r="14" spans="1:8" ht="15" customHeight="1">
      <c r="A14" s="160"/>
      <c r="B14" s="161"/>
      <c r="C14" s="163"/>
      <c r="D14" s="161"/>
      <c r="E14" s="161"/>
      <c r="F14" s="161"/>
      <c r="G14" s="161"/>
      <c r="H14" s="161"/>
    </row>
    <row r="15" spans="1:15" s="58" customFormat="1" ht="18" customHeight="1">
      <c r="A15" s="32">
        <f>IF(Rechnen!$R$17=0,"",1)</f>
      </c>
      <c r="B15" s="57" t="str">
        <f>Rechnen!K17</f>
        <v>Mondspritzer Nußloch</v>
      </c>
      <c r="C15" s="57">
        <f>IF(Rechnen!$R$17=0,"",Rechnen!L17)</f>
      </c>
      <c r="D15" s="57">
        <f>IF(Rechnen!$R$17=0,"",Rechnen!M17)</f>
      </c>
      <c r="E15" s="57">
        <f>IF(Rechnen!$R$17=0,"",Rechnen!N17)</f>
      </c>
      <c r="F15" s="33" t="s">
        <v>9</v>
      </c>
      <c r="G15" s="57">
        <f>IF(Rechnen!$R$17=0,"",Rechnen!P17)</f>
      </c>
      <c r="H15" s="34">
        <f aca="true" t="shared" si="1" ref="H15:H22">IF(AND(E15="",G15=""),"",(E15-G15))</f>
      </c>
      <c r="I15" s="35"/>
      <c r="J15" s="30"/>
      <c r="K15" s="30"/>
      <c r="L15" s="31"/>
      <c r="M15" s="30"/>
      <c r="N15" s="30"/>
      <c r="O15" s="30"/>
    </row>
    <row r="16" spans="1:15" s="58" customFormat="1" ht="18" customHeight="1">
      <c r="A16" s="32">
        <f>IF(Rechnen!$R$17=0,"",2)</f>
      </c>
      <c r="B16" s="57" t="str">
        <f>Rechnen!K18</f>
        <v>KJG Brühl</v>
      </c>
      <c r="C16" s="57">
        <f>IF(Rechnen!$R$17=0,"",Rechnen!L18)</f>
      </c>
      <c r="D16" s="57">
        <f>IF(Rechnen!$R$17=0,"",Rechnen!M18)</f>
      </c>
      <c r="E16" s="57">
        <f>IF(Rechnen!$R$17=0,"",Rechnen!N18)</f>
      </c>
      <c r="F16" s="33" t="s">
        <v>9</v>
      </c>
      <c r="G16" s="57">
        <f>IF(Rechnen!$R$17=0,"",Rechnen!P18)</f>
      </c>
      <c r="H16" s="34">
        <f t="shared" si="1"/>
      </c>
      <c r="I16" s="35"/>
      <c r="J16" s="30"/>
      <c r="K16" s="30"/>
      <c r="L16" s="31"/>
      <c r="M16" s="30"/>
      <c r="N16" s="30"/>
      <c r="O16" s="30"/>
    </row>
    <row r="17" spans="1:15" s="58" customFormat="1" ht="18" customHeight="1">
      <c r="A17" s="32">
        <f>IF(Rechnen!$R$17=0,"",3)</f>
      </c>
      <c r="B17" s="57" t="str">
        <f>Rechnen!K19</f>
        <v>Inter Heiland</v>
      </c>
      <c r="C17" s="57">
        <f>IF(Rechnen!$R$17=0,"",Rechnen!L19)</f>
      </c>
      <c r="D17" s="57">
        <f>IF(Rechnen!$R$17=0,"",Rechnen!M19)</f>
      </c>
      <c r="E17" s="57">
        <f>IF(Rechnen!$R$17=0,"",Rechnen!N19)</f>
      </c>
      <c r="F17" s="33" t="s">
        <v>9</v>
      </c>
      <c r="G17" s="57">
        <f>IF(Rechnen!$R$17=0,"",Rechnen!P19)</f>
      </c>
      <c r="H17" s="34">
        <f t="shared" si="1"/>
      </c>
      <c r="I17" s="35"/>
      <c r="J17" s="30"/>
      <c r="K17" s="30"/>
      <c r="L17" s="31"/>
      <c r="M17" s="30"/>
      <c r="N17" s="30"/>
      <c r="O17" s="30"/>
    </row>
    <row r="18" spans="1:15" s="58" customFormat="1" ht="18" customHeight="1">
      <c r="A18" s="32">
        <f>IF(Rechnen!$R$17=0,"",4)</f>
      </c>
      <c r="B18" s="57" t="str">
        <f>Rechnen!K20</f>
        <v>KJG Wiesloch</v>
      </c>
      <c r="C18" s="57">
        <f>IF(Rechnen!$R$17=0,"",Rechnen!L20)</f>
      </c>
      <c r="D18" s="57">
        <f>IF(Rechnen!$R$17=0,"",Rechnen!M20)</f>
      </c>
      <c r="E18" s="57">
        <f>IF(Rechnen!$R$17=0,"",Rechnen!N20)</f>
      </c>
      <c r="F18" s="33" t="s">
        <v>9</v>
      </c>
      <c r="G18" s="57">
        <f>IF(Rechnen!$R$17=0,"",Rechnen!P20)</f>
      </c>
      <c r="H18" s="34">
        <f t="shared" si="1"/>
      </c>
      <c r="I18" s="35"/>
      <c r="J18" s="30"/>
      <c r="K18" s="30"/>
      <c r="L18" s="31"/>
      <c r="M18" s="30"/>
      <c r="N18" s="30"/>
      <c r="O18" s="30"/>
    </row>
    <row r="19" spans="1:15" s="58" customFormat="1" ht="18" customHeight="1">
      <c r="A19" s="32">
        <f>IF(Rechnen!$R$17=0,"",5)</f>
      </c>
      <c r="B19" s="57" t="str">
        <f>Rechnen!K21</f>
        <v>Minis St. Nikolaus</v>
      </c>
      <c r="C19" s="57">
        <f>IF(Rechnen!$R$17=0,"",Rechnen!L21)</f>
      </c>
      <c r="D19" s="57">
        <f>IF(Rechnen!$R$17=0,"",Rechnen!M21)</f>
      </c>
      <c r="E19" s="57">
        <f>IF(Rechnen!$R$17=0,"",Rechnen!N21)</f>
      </c>
      <c r="F19" s="33" t="s">
        <v>9</v>
      </c>
      <c r="G19" s="57">
        <f>IF(Rechnen!$R$17=0,"",Rechnen!P21)</f>
      </c>
      <c r="H19" s="34">
        <f t="shared" si="1"/>
      </c>
      <c r="I19" s="40"/>
      <c r="J19" s="38"/>
      <c r="K19" s="40"/>
      <c r="L19" s="37"/>
      <c r="M19" s="38"/>
      <c r="N19" s="39"/>
      <c r="O19" s="39"/>
    </row>
    <row r="20" spans="1:15" s="58" customFormat="1" ht="18" customHeight="1">
      <c r="A20" s="32">
        <f>IF(Rechnen!$R$17=0,"",6)</f>
      </c>
      <c r="B20" s="57" t="str">
        <f>Rechnen!K22</f>
        <v>Minis Mühlhausen/Rettigheim</v>
      </c>
      <c r="C20" s="57">
        <f>IF(Rechnen!$R$17=0,"",Rechnen!L22)</f>
      </c>
      <c r="D20" s="57">
        <f>IF(Rechnen!$R$17=0,"",Rechnen!M22)</f>
      </c>
      <c r="E20" s="57">
        <f>IF(Rechnen!$R$17=0,"",Rechnen!N22)</f>
      </c>
      <c r="F20" s="33" t="s">
        <v>9</v>
      </c>
      <c r="G20" s="57">
        <f>IF(Rechnen!$R$17=0,"",Rechnen!P22)</f>
      </c>
      <c r="H20" s="34">
        <f t="shared" si="1"/>
      </c>
      <c r="I20" s="41"/>
      <c r="J20" s="42"/>
      <c r="K20" s="42"/>
      <c r="L20" s="42"/>
      <c r="M20" s="42"/>
      <c r="N20" s="42"/>
      <c r="O20" s="42"/>
    </row>
    <row r="21" spans="1:15" s="58" customFormat="1" ht="18" customHeight="1">
      <c r="A21" s="32">
        <f>IF(Rechnen!$R$17=0,"",7)</f>
      </c>
      <c r="B21" s="57" t="str">
        <f>Rechnen!K23</f>
        <v>FC Teufelskicker Engelhausen</v>
      </c>
      <c r="C21" s="57">
        <f>IF(Rechnen!$R$17=0,"",Rechnen!L23)</f>
      </c>
      <c r="D21" s="57">
        <f>IF(Rechnen!$R$17=0,"",Rechnen!M23)</f>
      </c>
      <c r="E21" s="57">
        <f>IF(Rechnen!$R$17=0,"",Rechnen!N23)</f>
      </c>
      <c r="F21" s="33" t="s">
        <v>9</v>
      </c>
      <c r="G21" s="57">
        <f>IF(Rechnen!$R$17=0,"",Rechnen!P23)</f>
      </c>
      <c r="H21" s="34">
        <f t="shared" si="1"/>
      </c>
      <c r="I21" s="36"/>
      <c r="J21" s="30"/>
      <c r="K21" s="30"/>
      <c r="L21" s="31"/>
      <c r="M21" s="30"/>
      <c r="N21" s="30"/>
      <c r="O21" s="30"/>
    </row>
    <row r="22" spans="1:15" s="58" customFormat="1" ht="18" customHeight="1">
      <c r="A22" s="32">
        <f>IF(Rechnen!$R$17=0,"",8)</f>
      </c>
      <c r="B22" s="57" t="str">
        <f>Rechnen!K24</f>
        <v>Miniators</v>
      </c>
      <c r="C22" s="57">
        <f>IF(Rechnen!$R$17=0,"",Rechnen!L24)</f>
      </c>
      <c r="D22" s="57">
        <f>IF(Rechnen!$R$17=0,"",Rechnen!M24)</f>
      </c>
      <c r="E22" s="57">
        <f>IF(Rechnen!$R$17=0,"",Rechnen!N24)</f>
      </c>
      <c r="F22" s="33" t="s">
        <v>9</v>
      </c>
      <c r="G22" s="57">
        <f>IF(Rechnen!$R$17=0,"",Rechnen!P24)</f>
      </c>
      <c r="H22" s="34">
        <f t="shared" si="1"/>
      </c>
      <c r="I22" s="31"/>
      <c r="J22" s="30"/>
      <c r="K22" s="30"/>
      <c r="L22" s="31"/>
      <c r="M22" s="30"/>
      <c r="N22" s="30"/>
      <c r="O22"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7.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Q3" sqref="Q3"/>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164" t="s">
        <v>7</v>
      </c>
      <c r="F2" s="164"/>
      <c r="G2" s="164"/>
      <c r="H2" s="54" t="s">
        <v>18</v>
      </c>
      <c r="I2" s="54" t="s">
        <v>19</v>
      </c>
      <c r="J2" s="15"/>
      <c r="K2" s="16" t="s">
        <v>28</v>
      </c>
      <c r="L2" s="16" t="s">
        <v>20</v>
      </c>
      <c r="M2" s="16" t="s">
        <v>0</v>
      </c>
      <c r="N2" s="165" t="s">
        <v>1</v>
      </c>
      <c r="O2" s="165"/>
      <c r="P2" s="165"/>
      <c r="Q2" s="16" t="s">
        <v>21</v>
      </c>
      <c r="R2" s="11" t="s">
        <v>25</v>
      </c>
      <c r="S2" s="10" t="s">
        <v>22</v>
      </c>
      <c r="T2" s="10" t="s">
        <v>23</v>
      </c>
      <c r="U2" s="10" t="s">
        <v>24</v>
      </c>
      <c r="V2" s="10" t="s">
        <v>35</v>
      </c>
      <c r="W2" s="10" t="s">
        <v>36</v>
      </c>
      <c r="X2" s="10" t="s">
        <v>37</v>
      </c>
      <c r="Y2" s="10" t="s">
        <v>38</v>
      </c>
    </row>
    <row r="3" spans="1:25" ht="12.75">
      <c r="A3" s="17" t="str">
        <f>Spielplan!$B12&amp;" "&amp;Spielplan!$C12</f>
        <v>1 A</v>
      </c>
      <c r="B3" s="60" t="str">
        <f>Spielplan!$E12</f>
        <v>Himmelsstürmer</v>
      </c>
      <c r="C3" s="61" t="s">
        <v>8</v>
      </c>
      <c r="D3" s="62" t="str">
        <f>Spielplan!$G12</f>
        <v>Natural Born Kickers</v>
      </c>
      <c r="E3" s="14">
        <f>IF(Spielplan!$H12="","",Spielplan!$H12)</f>
      </c>
      <c r="F3" s="14" t="s">
        <v>9</v>
      </c>
      <c r="G3" s="14">
        <f>IF(Spielplan!$J12="","",Spielplan!$J12)</f>
      </c>
      <c r="H3" s="55">
        <f>IF(OR($E3="",$G3=""),"",IF(E3&gt;G3,3,IF(E3=G3,1,0)))</f>
      </c>
      <c r="I3" s="55">
        <f>IF(OR($E3="",$G3=""),"",IF(G3&gt;E3,3,IF(E3=G3,1,0)))</f>
      </c>
      <c r="K3" s="63" t="str">
        <f>Vorgaben!A2</f>
        <v>Himmelsstürmer</v>
      </c>
      <c r="L3" s="18">
        <f aca="true" t="shared" si="0" ref="L3:L10">SUM(S3:Y3)</f>
        <v>1</v>
      </c>
      <c r="M3" s="18">
        <f>SUM(H3,I11,I21,I31,H41,H48,H54)</f>
        <v>3</v>
      </c>
      <c r="N3" s="14">
        <f>SUM(E3,G11,G21,G31,E41,E48,E54)</f>
        <v>2</v>
      </c>
      <c r="O3" s="14" t="s">
        <v>9</v>
      </c>
      <c r="P3" s="14">
        <f>SUM(G3,E11,E21,E31,G41,G48,G54)</f>
        <v>1</v>
      </c>
      <c r="Q3" s="14">
        <f aca="true" t="shared" si="1" ref="Q3:Q10">N3-P3</f>
        <v>1</v>
      </c>
      <c r="R3" s="10">
        <f>SUM(L3:L10)/2</f>
        <v>1</v>
      </c>
      <c r="S3" s="10">
        <f>IF(OR($E3="",$G3=""),0,1)</f>
        <v>0</v>
      </c>
      <c r="T3" s="10">
        <f>IF(OR($E11="",$G11=""),0,1)</f>
        <v>0</v>
      </c>
      <c r="U3" s="10">
        <f>IF(OR($E21="",$G21=""),0,1)</f>
        <v>0</v>
      </c>
      <c r="V3" s="10">
        <f>IF(OR($E31="",$G31=""),0,1)</f>
        <v>0</v>
      </c>
      <c r="W3" s="10">
        <f>IF(OR($E41="",$G41=""),0,1)</f>
        <v>1</v>
      </c>
      <c r="X3" s="10">
        <f>IF(OR($E48="",$G48=""),0,1)</f>
        <v>0</v>
      </c>
      <c r="Y3" s="10">
        <f>IF(OR($E54="",$G54=""),0,1)</f>
        <v>0</v>
      </c>
    </row>
    <row r="4" spans="1:25" ht="12.75">
      <c r="A4" s="71" t="str">
        <f>Spielplan!$B13&amp;" "&amp;Spielplan!$C13</f>
        <v>2 B</v>
      </c>
      <c r="B4" s="60" t="str">
        <f>Spielplan!$E13</f>
        <v>Mondspritzer Nußloch</v>
      </c>
      <c r="C4" s="61" t="s">
        <v>8</v>
      </c>
      <c r="D4" s="62" t="str">
        <f>Spielplan!$G13</f>
        <v>KJG Brühl</v>
      </c>
      <c r="E4" s="14">
        <f>IF(Spielplan!$H13="","",Spielplan!$H13)</f>
      </c>
      <c r="F4" s="14" t="s">
        <v>9</v>
      </c>
      <c r="G4" s="14">
        <f>IF(Spielplan!$J13="","",Spielplan!$J13)</f>
      </c>
      <c r="H4" s="55">
        <f aca="true" t="shared" si="2" ref="H4:H44">IF(OR($E4="",$G4=""),"",IF(E4&gt;G4,3,IF(E4=G4,1,0)))</f>
      </c>
      <c r="I4" s="55">
        <f aca="true" t="shared" si="3" ref="I4:I44">IF(OR($E4="",$G4=""),"",IF(G4&gt;E4,3,IF(E4=G4,1,0)))</f>
      </c>
      <c r="K4" s="63" t="str">
        <f>Vorgaben!A3</f>
        <v>Natural Born Kickers</v>
      </c>
      <c r="L4" s="18">
        <f t="shared" si="0"/>
        <v>0</v>
      </c>
      <c r="M4" s="18">
        <f>SUM(I3,I13,H19,I27,H35,H46,I56)</f>
        <v>0</v>
      </c>
      <c r="N4" s="14">
        <f>SUM(G3,G13,E19,G27,E35,E46,G56)</f>
        <v>0</v>
      </c>
      <c r="O4" s="14" t="s">
        <v>9</v>
      </c>
      <c r="P4" s="14">
        <f>SUM(E3,E13,G19,E27,G35,G46,E56)</f>
        <v>0</v>
      </c>
      <c r="Q4" s="14">
        <f t="shared" si="1"/>
        <v>0</v>
      </c>
      <c r="S4" s="10">
        <f>IF(OR($E3="",$G3=""),0,1)</f>
        <v>0</v>
      </c>
      <c r="T4" s="10">
        <f>IF(OR($E13="",$G13=""),0,1)</f>
        <v>0</v>
      </c>
      <c r="U4" s="10">
        <f>IF(OR($E19="",$G19=""),0,1)</f>
        <v>0</v>
      </c>
      <c r="V4" s="10">
        <f>IF(OR($E27="",$G27=""),0,1)</f>
        <v>0</v>
      </c>
      <c r="W4" s="10">
        <f>IF(OR($E35="",$G35=""),0,1)</f>
        <v>0</v>
      </c>
      <c r="X4" s="10">
        <f>IF(OR($E46="",$G46=""),0,1)</f>
        <v>0</v>
      </c>
      <c r="Y4" s="10">
        <f>IF(OR($E56="",$G56=""),0,1)</f>
        <v>0</v>
      </c>
    </row>
    <row r="5" spans="1:25" ht="12.75">
      <c r="A5" s="17" t="str">
        <f>Spielplan!$B14&amp;" "&amp;Spielplan!$C14</f>
        <v>3 A</v>
      </c>
      <c r="B5" s="60" t="str">
        <f>Spielplan!$E14</f>
        <v>St. Peter's Russelbande</v>
      </c>
      <c r="C5" s="61" t="s">
        <v>8</v>
      </c>
      <c r="D5" s="62" t="str">
        <f>Spielplan!$G14</f>
        <v>Minis Rot</v>
      </c>
      <c r="E5" s="14">
        <f>IF(Spielplan!$H14="","",Spielplan!$H14)</f>
      </c>
      <c r="F5" s="14" t="s">
        <v>9</v>
      </c>
      <c r="G5" s="14">
        <f>IF(Spielplan!$J14="","",Spielplan!$J14)</f>
      </c>
      <c r="H5" s="55">
        <f t="shared" si="2"/>
      </c>
      <c r="I5" s="55">
        <f t="shared" si="3"/>
      </c>
      <c r="K5" s="63" t="str">
        <f>Vorgaben!A4</f>
        <v>St. Peter's Russelbande</v>
      </c>
      <c r="L5" s="18">
        <f t="shared" si="0"/>
        <v>0</v>
      </c>
      <c r="M5" s="18">
        <f>SUM(H5,H11,I19,I29,I37,I50,H58)</f>
        <v>0</v>
      </c>
      <c r="N5" s="14">
        <f>SUM(E5,E11,G19,G29,G37,G50,E58)</f>
        <v>0</v>
      </c>
      <c r="O5" s="14" t="s">
        <v>9</v>
      </c>
      <c r="P5" s="14">
        <f>SUM(G5,G11,E19,E29,E37,E50,G58)</f>
        <v>0</v>
      </c>
      <c r="Q5" s="14">
        <f t="shared" si="1"/>
        <v>0</v>
      </c>
      <c r="S5" s="10">
        <f>IF(OR($E5="",$G5=""),0,1)</f>
        <v>0</v>
      </c>
      <c r="T5" s="10">
        <f>IF(OR($E11="",$G11=""),0,1)</f>
        <v>0</v>
      </c>
      <c r="U5" s="10">
        <f>IF(OR($E19="",$G19=""),0,1)</f>
        <v>0</v>
      </c>
      <c r="V5" s="10">
        <f>IF(OR($E29="",$G29=""),0,1)</f>
        <v>0</v>
      </c>
      <c r="W5" s="10">
        <f>IF(OR($E37="",$G37=""),0,1)</f>
        <v>0</v>
      </c>
      <c r="X5" s="10">
        <f>IF(OR($E50="",$G50=""),0,1)</f>
        <v>0</v>
      </c>
      <c r="Y5" s="10">
        <f>IF(OR($E58="",$G58=""),0,1)</f>
        <v>0</v>
      </c>
    </row>
    <row r="6" spans="1:25" ht="12.75">
      <c r="A6" s="71" t="str">
        <f>Spielplan!$B15&amp;" "&amp;Spielplan!$C15</f>
        <v>4 B</v>
      </c>
      <c r="B6" s="60" t="str">
        <f>Spielplan!$E15</f>
        <v>Inter Heiland</v>
      </c>
      <c r="C6" s="61" t="s">
        <v>8</v>
      </c>
      <c r="D6" s="62" t="str">
        <f>Spielplan!$G15</f>
        <v>KJG Wiesloch</v>
      </c>
      <c r="E6" s="14">
        <f>IF(Spielplan!$H15="","",Spielplan!$H15)</f>
      </c>
      <c r="F6" s="14" t="s">
        <v>9</v>
      </c>
      <c r="G6" s="14">
        <f>IF(Spielplan!$J15="","",Spielplan!$J15)</f>
      </c>
      <c r="H6" s="55">
        <f t="shared" si="2"/>
      </c>
      <c r="I6" s="55">
        <f t="shared" si="3"/>
      </c>
      <c r="K6" s="63" t="str">
        <f>Vorgaben!A5</f>
        <v>Minis Rot</v>
      </c>
      <c r="L6" s="18">
        <f t="shared" si="0"/>
        <v>0</v>
      </c>
      <c r="M6" s="18">
        <f>SUM(I5,H13,H21,H33,H39,I43,I52)</f>
        <v>0</v>
      </c>
      <c r="N6" s="14">
        <f>SUM(G5,E13,E21,E33,E39,G43,G52)</f>
        <v>0</v>
      </c>
      <c r="O6" s="14" t="s">
        <v>9</v>
      </c>
      <c r="P6" s="14">
        <f>SUM(E5,G13,G21,G33,G39,E43,E52)</f>
        <v>0</v>
      </c>
      <c r="Q6" s="14">
        <f t="shared" si="1"/>
        <v>0</v>
      </c>
      <c r="S6" s="10">
        <f>IF(OR($E5="",$G5=""),0,1)</f>
        <v>0</v>
      </c>
      <c r="T6" s="10">
        <f>IF(OR($E13="",$G13=""),0,1)</f>
        <v>0</v>
      </c>
      <c r="U6" s="10">
        <f>IF(OR($E21="",$G21=""),0,1)</f>
        <v>0</v>
      </c>
      <c r="V6" s="10">
        <f>IF(OR($E33="",$G33=""),0,1)</f>
        <v>0</v>
      </c>
      <c r="W6" s="10">
        <f>IF(OR($E39="",$G39=""),0,1)</f>
        <v>0</v>
      </c>
      <c r="X6" s="10">
        <f>IF(OR($E43="",$G43=""),0,1)</f>
        <v>0</v>
      </c>
      <c r="Y6" s="10">
        <f>IF(OR($E52="",$G52=""),0,1)</f>
        <v>0</v>
      </c>
    </row>
    <row r="7" spans="1:25" ht="12.75">
      <c r="A7" s="17" t="str">
        <f>Spielplan!$B16&amp;" "&amp;Spielplan!$C16</f>
        <v>5 A</v>
      </c>
      <c r="B7" s="60" t="str">
        <f>Spielplan!$E16</f>
        <v>Kampfkarnickel</v>
      </c>
      <c r="C7" s="61" t="s">
        <v>8</v>
      </c>
      <c r="D7" s="62" t="str">
        <f>Spielplan!$G16</f>
        <v>Minis Hl. Kreuz</v>
      </c>
      <c r="E7" s="14">
        <f>IF(Spielplan!$H16="","",Spielplan!$H16)</f>
      </c>
      <c r="F7" s="14" t="s">
        <v>9</v>
      </c>
      <c r="G7" s="14">
        <f>IF(Spielplan!$J16="","",Spielplan!$J16)</f>
      </c>
      <c r="H7" s="55">
        <f t="shared" si="2"/>
      </c>
      <c r="I7" s="55">
        <f t="shared" si="3"/>
      </c>
      <c r="K7" s="63" t="str">
        <f>Vorgaben!A6</f>
        <v>Kampfkarnickel</v>
      </c>
      <c r="L7" s="18">
        <f t="shared" si="0"/>
        <v>0</v>
      </c>
      <c r="M7" s="18">
        <f>SUM(H7,I15,H23,H29,I35,H43,I54)</f>
        <v>0</v>
      </c>
      <c r="N7" s="14">
        <f>SUM(E7,G15,E23,E29,G35,E43,G54)</f>
        <v>0</v>
      </c>
      <c r="O7" s="14" t="s">
        <v>9</v>
      </c>
      <c r="P7" s="14">
        <f>SUM(G7,E15,G23,G29,E35,G43,E54)</f>
        <v>0</v>
      </c>
      <c r="Q7" s="14">
        <f t="shared" si="1"/>
        <v>0</v>
      </c>
      <c r="S7" s="10">
        <f>IF(OR($E7="",$G7=""),0,1)</f>
        <v>0</v>
      </c>
      <c r="T7" s="10">
        <f>IF(OR($E15="",$G15=""),0,1)</f>
        <v>0</v>
      </c>
      <c r="U7" s="10">
        <f>IF(OR($E23="",$G23=""),0,1)</f>
        <v>0</v>
      </c>
      <c r="V7" s="10">
        <f>IF(OR($E29="",$G29=""),0,1)</f>
        <v>0</v>
      </c>
      <c r="W7" s="10">
        <f>IF(OR($E35="",$G35=""),0,1)</f>
        <v>0</v>
      </c>
      <c r="X7" s="10">
        <f>IF(OR($E43="",$G43=""),0,1)</f>
        <v>0</v>
      </c>
      <c r="Y7" s="10">
        <f>IF(OR($E54="",$G54=""),0,1)</f>
        <v>0</v>
      </c>
    </row>
    <row r="8" spans="1:25" ht="12.75">
      <c r="A8" s="71" t="str">
        <f>Spielplan!$B17&amp;" "&amp;Spielplan!$C17</f>
        <v>6 B</v>
      </c>
      <c r="B8" s="60" t="str">
        <f>Spielplan!$E17</f>
        <v>Minis St. Nikolaus</v>
      </c>
      <c r="C8" s="61" t="s">
        <v>8</v>
      </c>
      <c r="D8" s="62" t="str">
        <f>Spielplan!$G17</f>
        <v>Minis Mühlhausen/Rettigheim</v>
      </c>
      <c r="E8" s="14">
        <f>IF(Spielplan!$H17="","",Spielplan!$H17)</f>
      </c>
      <c r="F8" s="14" t="s">
        <v>9</v>
      </c>
      <c r="G8" s="14">
        <f>IF(Spielplan!$J17="","",Spielplan!$J17)</f>
      </c>
      <c r="H8" s="55">
        <f t="shared" si="2"/>
      </c>
      <c r="I8" s="55">
        <f t="shared" si="3"/>
      </c>
      <c r="K8" s="63" t="str">
        <f>Vorgaben!A7</f>
        <v>Minis Hl. Kreuz</v>
      </c>
      <c r="L8" s="18">
        <f t="shared" si="0"/>
        <v>0</v>
      </c>
      <c r="M8" s="18">
        <f>SUM(I7,H17,H25,H31,I39,I46,I58)</f>
        <v>0</v>
      </c>
      <c r="N8" s="14">
        <f>SUM(G7,E17,E25,E31,G39,G46,G58)</f>
        <v>0</v>
      </c>
      <c r="O8" s="14" t="s">
        <v>9</v>
      </c>
      <c r="P8" s="14">
        <f>SUM(E7,G17,G25,G31,E39,E46,E58)</f>
        <v>0</v>
      </c>
      <c r="Q8" s="14">
        <f t="shared" si="1"/>
        <v>0</v>
      </c>
      <c r="S8" s="10">
        <f>IF(OR($E7="",$G7=""),0,1)</f>
        <v>0</v>
      </c>
      <c r="T8" s="10">
        <f>IF(OR($E17="",$G17=""),0,1)</f>
        <v>0</v>
      </c>
      <c r="U8" s="10">
        <f>IF(OR($E25="",$G25=""),0,1)</f>
        <v>0</v>
      </c>
      <c r="V8" s="10">
        <f>IF(OR($E31="",$G31=""),0,1)</f>
        <v>0</v>
      </c>
      <c r="W8" s="10">
        <f>IF(OR($E39="",$G39=""),0,1)</f>
        <v>0</v>
      </c>
      <c r="X8" s="10">
        <f>IF(OR($E46="",$G46=""),0,1)</f>
        <v>0</v>
      </c>
      <c r="Y8" s="10">
        <f>IF(OR($E58="",$G58=""),0,1)</f>
        <v>0</v>
      </c>
    </row>
    <row r="9" spans="1:25" ht="12.75">
      <c r="A9" s="17" t="str">
        <f>Spielplan!$B18&amp;" "&amp;Spielplan!$C18</f>
        <v>7 A</v>
      </c>
      <c r="B9" s="60" t="str">
        <f>Spielplan!$E18</f>
        <v>Minis Plankstadt </v>
      </c>
      <c r="C9" s="61" t="s">
        <v>8</v>
      </c>
      <c r="D9" s="62" t="str">
        <f>Spielplan!$G18</f>
        <v>KJG Burner</v>
      </c>
      <c r="E9" s="14">
        <f>IF(Spielplan!$H18="","",Spielplan!$H18)</f>
      </c>
      <c r="F9" s="14" t="s">
        <v>9</v>
      </c>
      <c r="G9" s="14">
        <f>IF(Spielplan!$J18="","",Spielplan!$J18)</f>
      </c>
      <c r="H9" s="55">
        <f t="shared" si="2"/>
      </c>
      <c r="I9" s="55">
        <f t="shared" si="3"/>
      </c>
      <c r="K9" s="63" t="str">
        <f>Vorgaben!A8</f>
        <v>Minis Plankstadt </v>
      </c>
      <c r="L9" s="18">
        <f t="shared" si="0"/>
        <v>1</v>
      </c>
      <c r="M9" s="18">
        <f>SUM(H9,H15,I25,I33,I41,H50,H56)</f>
        <v>0</v>
      </c>
      <c r="N9" s="14">
        <f>SUM(E9,E15,G25,G33,G41,E50,E56)</f>
        <v>1</v>
      </c>
      <c r="O9" s="14" t="s">
        <v>9</v>
      </c>
      <c r="P9" s="14">
        <f>SUM(G9,G15,E25,E33,E41,G50,G56)</f>
        <v>2</v>
      </c>
      <c r="Q9" s="14">
        <f t="shared" si="1"/>
        <v>-1</v>
      </c>
      <c r="S9" s="10">
        <f>IF(OR($E9="",$G9=""),0,1)</f>
        <v>0</v>
      </c>
      <c r="T9" s="10">
        <f>IF(OR($E15="",$G15=""),0,1)</f>
        <v>0</v>
      </c>
      <c r="U9" s="10">
        <f>IF(OR($E25="",$G25=""),0,1)</f>
        <v>0</v>
      </c>
      <c r="V9" s="10">
        <f>IF(OR($E33="",$G33=""),0,1)</f>
        <v>0</v>
      </c>
      <c r="W9" s="10">
        <f>IF(OR($E41="",$G41=""),0,1)</f>
        <v>1</v>
      </c>
      <c r="X9" s="10">
        <f>IF(OR($E50="",$G50=""),0,1)</f>
        <v>0</v>
      </c>
      <c r="Y9" s="10">
        <f>IF(OR($E56="",$G56=""),0,1)</f>
        <v>0</v>
      </c>
    </row>
    <row r="10" spans="1:25" ht="12.75">
      <c r="A10" s="71" t="str">
        <f>Spielplan!$B19&amp;" "&amp;Spielplan!$C19</f>
        <v>8 B</v>
      </c>
      <c r="B10" s="60" t="str">
        <f>Spielplan!$E19</f>
        <v>FC Teufelskicker Engelhausen</v>
      </c>
      <c r="C10" s="61" t="s">
        <v>8</v>
      </c>
      <c r="D10" s="62" t="str">
        <f>Spielplan!$G19</f>
        <v>Miniators</v>
      </c>
      <c r="E10" s="14">
        <f>IF(Spielplan!$H19="","",Spielplan!$H19)</f>
      </c>
      <c r="F10" s="14" t="s">
        <v>9</v>
      </c>
      <c r="G10" s="14">
        <f>IF(Spielplan!$J19="","",Spielplan!$J19)</f>
      </c>
      <c r="H10" s="55">
        <f t="shared" si="2"/>
      </c>
      <c r="I10" s="55">
        <f t="shared" si="3"/>
      </c>
      <c r="K10" s="63" t="str">
        <f>Vorgaben!A9</f>
        <v>KJG Burner</v>
      </c>
      <c r="L10" s="18">
        <f t="shared" si="0"/>
        <v>0</v>
      </c>
      <c r="M10" s="18">
        <f>SUM(I9,I17,I23,H27,H37,I48,H52)</f>
        <v>0</v>
      </c>
      <c r="N10" s="14">
        <f>SUM(G9,G17,G23,E27,E37,G48,E52)</f>
        <v>0</v>
      </c>
      <c r="O10" s="14" t="s">
        <v>9</v>
      </c>
      <c r="P10" s="14">
        <f>SUM(E9,E17,E23,G27,G37,E48,G52)</f>
        <v>0</v>
      </c>
      <c r="Q10" s="14">
        <f t="shared" si="1"/>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Spielplan!$B20&amp;" "&amp;Spielplan!$C20</f>
        <v>9 A</v>
      </c>
      <c r="B11" s="60" t="str">
        <f>Spielplan!$E20</f>
        <v>St. Peter's Russelbande</v>
      </c>
      <c r="C11" s="61" t="s">
        <v>8</v>
      </c>
      <c r="D11" s="62" t="str">
        <f>Spielplan!$G20</f>
        <v>Himmelsstürmer</v>
      </c>
      <c r="E11" s="14">
        <f>IF(Spielplan!$H20="","",Spielplan!$H20)</f>
      </c>
      <c r="F11" s="14" t="s">
        <v>9</v>
      </c>
      <c r="G11" s="14">
        <f>IF(Spielplan!$J20="","",Spielplan!$J20)</f>
      </c>
      <c r="H11" s="55">
        <f t="shared" si="2"/>
      </c>
      <c r="I11" s="55">
        <f t="shared" si="3"/>
      </c>
      <c r="J11" s="19"/>
      <c r="K11" s="64"/>
      <c r="L11" s="18"/>
      <c r="M11" s="18"/>
      <c r="N11" s="14"/>
      <c r="O11" s="14"/>
      <c r="P11" s="14"/>
      <c r="Q11" s="14"/>
    </row>
    <row r="12" spans="1:17" ht="12.75">
      <c r="A12" s="71" t="str">
        <f>Spielplan!$B21&amp;" "&amp;Spielplan!$C21</f>
        <v>10 B</v>
      </c>
      <c r="B12" s="60" t="str">
        <f>Spielplan!$E21</f>
        <v>Inter Heiland</v>
      </c>
      <c r="C12" s="61" t="s">
        <v>8</v>
      </c>
      <c r="D12" s="62" t="str">
        <f>Spielplan!$G21</f>
        <v>Mondspritzer Nußloch</v>
      </c>
      <c r="E12" s="14">
        <f>IF(Spielplan!$H21="","",Spielplan!$H21)</f>
      </c>
      <c r="F12" s="14" t="s">
        <v>9</v>
      </c>
      <c r="G12" s="14">
        <f>IF(Spielplan!$J21="","",Spielplan!$J21)</f>
      </c>
      <c r="H12" s="55">
        <f t="shared" si="2"/>
      </c>
      <c r="I12" s="55">
        <f t="shared" si="3"/>
      </c>
      <c r="K12" s="64"/>
      <c r="L12" s="18"/>
      <c r="M12" s="18"/>
      <c r="N12" s="14"/>
      <c r="O12" s="14"/>
      <c r="P12" s="14"/>
      <c r="Q12" s="14"/>
    </row>
    <row r="13" spans="1:17" ht="12.75">
      <c r="A13" s="17" t="str">
        <f>Spielplan!$B22&amp;" "&amp;Spielplan!$C22</f>
        <v>11 A</v>
      </c>
      <c r="B13" s="60" t="str">
        <f>Spielplan!$E22</f>
        <v>Minis Rot</v>
      </c>
      <c r="C13" s="61" t="s">
        <v>8</v>
      </c>
      <c r="D13" s="62" t="str">
        <f>Spielplan!$G22</f>
        <v>Natural Born Kickers</v>
      </c>
      <c r="E13" s="14">
        <f>IF(Spielplan!$H22="","",Spielplan!$H22)</f>
      </c>
      <c r="F13" s="14" t="s">
        <v>9</v>
      </c>
      <c r="G13" s="14">
        <f>IF(Spielplan!$J22="","",Spielplan!$J22)</f>
      </c>
      <c r="H13" s="55">
        <f t="shared" si="2"/>
      </c>
      <c r="I13" s="55">
        <f t="shared" si="3"/>
      </c>
      <c r="K13" s="64"/>
      <c r="L13" s="18"/>
      <c r="M13" s="18"/>
      <c r="N13" s="14"/>
      <c r="O13" s="14"/>
      <c r="P13" s="14"/>
      <c r="Q13" s="14"/>
    </row>
    <row r="14" spans="1:18" ht="15.75" customHeight="1">
      <c r="A14" s="71" t="str">
        <f>Spielplan!$B23&amp;" "&amp;Spielplan!$C23</f>
        <v>12 B</v>
      </c>
      <c r="B14" s="60" t="str">
        <f>Spielplan!$E23</f>
        <v>KJG Wiesloch</v>
      </c>
      <c r="C14" s="61" t="s">
        <v>8</v>
      </c>
      <c r="D14" s="62" t="str">
        <f>Spielplan!$G23</f>
        <v>KJG Brühl</v>
      </c>
      <c r="E14" s="14">
        <f>IF(Spielplan!$H23="","",Spielplan!$H23)</f>
      </c>
      <c r="F14" s="14" t="s">
        <v>9</v>
      </c>
      <c r="G14" s="14">
        <f>IF(Spielplan!$J23="","",Spielplan!$J23)</f>
      </c>
      <c r="H14" s="55">
        <f t="shared" si="2"/>
      </c>
      <c r="I14" s="55">
        <f t="shared" si="3"/>
      </c>
      <c r="K14" s="64"/>
      <c r="L14" s="18"/>
      <c r="M14" s="18"/>
      <c r="N14" s="14"/>
      <c r="O14" s="14"/>
      <c r="P14" s="14"/>
      <c r="Q14" s="14"/>
      <c r="R14" s="166" t="s">
        <v>34</v>
      </c>
    </row>
    <row r="15" spans="1:18" ht="12.75" customHeight="1">
      <c r="A15" s="17" t="str">
        <f>Spielplan!$B24&amp;" "&amp;Spielplan!$C24</f>
        <v>13 A</v>
      </c>
      <c r="B15" s="60" t="str">
        <f>Spielplan!$E24</f>
        <v>Minis Plankstadt </v>
      </c>
      <c r="C15" s="61" t="s">
        <v>8</v>
      </c>
      <c r="D15" s="62" t="str">
        <f>Spielplan!$G24</f>
        <v>Kampfkarnickel</v>
      </c>
      <c r="E15" s="14">
        <f>IF(Spielplan!$H24="","",Spielplan!$H24)</f>
      </c>
      <c r="F15" s="14" t="s">
        <v>9</v>
      </c>
      <c r="G15" s="14">
        <f>IF(Spielplan!$J24="","",Spielplan!$J24)</f>
      </c>
      <c r="H15" s="55">
        <f t="shared" si="2"/>
      </c>
      <c r="I15" s="55">
        <f t="shared" si="3"/>
      </c>
      <c r="K15" s="167" t="s">
        <v>30</v>
      </c>
      <c r="L15" s="164" t="s">
        <v>20</v>
      </c>
      <c r="M15" s="164" t="s">
        <v>0</v>
      </c>
      <c r="N15" s="164" t="s">
        <v>1</v>
      </c>
      <c r="O15" s="164"/>
      <c r="P15" s="164"/>
      <c r="Q15" s="164" t="s">
        <v>21</v>
      </c>
      <c r="R15" s="166"/>
    </row>
    <row r="16" spans="1:18" ht="12.75" customHeight="1">
      <c r="A16" s="71" t="str">
        <f>Spielplan!$B25&amp;" "&amp;Spielplan!$C25</f>
        <v>14 B</v>
      </c>
      <c r="B16" s="60" t="str">
        <f>Spielplan!$E25</f>
        <v>FC Teufelskicker Engelhausen</v>
      </c>
      <c r="C16" s="61" t="s">
        <v>8</v>
      </c>
      <c r="D16" s="62" t="str">
        <f>Spielplan!$G25</f>
        <v>Minis St. Nikolaus</v>
      </c>
      <c r="E16" s="14">
        <f>IF(Spielplan!$H25="","",Spielplan!$H25)</f>
      </c>
      <c r="F16" s="14" t="s">
        <v>9</v>
      </c>
      <c r="G16" s="14">
        <f>IF(Spielplan!$J25="","",Spielplan!$J25)</f>
      </c>
      <c r="H16" s="55">
        <f t="shared" si="2"/>
      </c>
      <c r="I16" s="55">
        <f t="shared" si="3"/>
      </c>
      <c r="K16" s="167"/>
      <c r="L16" s="164"/>
      <c r="M16" s="164"/>
      <c r="N16" s="164"/>
      <c r="O16" s="164"/>
      <c r="P16" s="164"/>
      <c r="Q16" s="164"/>
      <c r="R16" s="166"/>
    </row>
    <row r="17" spans="1:25" ht="15.75" customHeight="1">
      <c r="A17" s="17" t="str">
        <f>Spielplan!$B26&amp;" "&amp;Spielplan!$C26</f>
        <v>15 A</v>
      </c>
      <c r="B17" s="60" t="str">
        <f>Spielplan!$E26</f>
        <v>Minis Hl. Kreuz</v>
      </c>
      <c r="C17" s="61" t="s">
        <v>8</v>
      </c>
      <c r="D17" s="62" t="str">
        <f>Spielplan!$G26</f>
        <v>KJG Burner</v>
      </c>
      <c r="E17" s="14">
        <f>IF(Spielplan!$H26="","",Spielplan!$H26)</f>
      </c>
      <c r="F17" s="14" t="s">
        <v>9</v>
      </c>
      <c r="G17" s="14">
        <f>IF(Spielplan!$J26="","",Spielplan!$J26)</f>
      </c>
      <c r="H17" s="55">
        <f t="shared" si="2"/>
      </c>
      <c r="I17" s="55">
        <f t="shared" si="3"/>
      </c>
      <c r="K17" s="65" t="str">
        <f>Vorgaben!B2</f>
        <v>Mondspritzer Nußloch</v>
      </c>
      <c r="L17" s="18">
        <f aca="true" t="shared" si="4" ref="L17:L24">SUM(S17:Y17)</f>
        <v>0</v>
      </c>
      <c r="M17" s="18">
        <f>SUM(H4,I12,I22,I32,H42,H49,H55)</f>
        <v>0</v>
      </c>
      <c r="N17" s="14">
        <f>SUM(E4,G12,G22,G32,E42,E49,E55)</f>
        <v>0</v>
      </c>
      <c r="O17" s="14" t="s">
        <v>9</v>
      </c>
      <c r="P17" s="14">
        <f>SUM(G4,E12,E22,E32,G42,G49,G55)</f>
        <v>0</v>
      </c>
      <c r="Q17" s="14">
        <f aca="true" t="shared" si="5" ref="Q17:Q23">N17-P17</f>
        <v>0</v>
      </c>
      <c r="R17" s="10">
        <f>SUM(L17:L24)/2</f>
        <v>0</v>
      </c>
      <c r="S17" s="10">
        <f>IF(OR($E4="",$G4=""),0,1)</f>
        <v>0</v>
      </c>
      <c r="T17" s="10">
        <f>IF(OR($E12="",$G12=""),0,1)</f>
        <v>0</v>
      </c>
      <c r="U17" s="10">
        <f>IF(OR($E22="",$G22=""),0,1)</f>
        <v>0</v>
      </c>
      <c r="V17" s="10">
        <f>IF(OR($E32="",$G32=""),0,1)</f>
        <v>0</v>
      </c>
      <c r="W17" s="10">
        <f>IF(OR($E42="",$G42=""),0,1)</f>
        <v>0</v>
      </c>
      <c r="X17" s="10">
        <f>IF(OR($E49="",$G49=""),0,1)</f>
        <v>0</v>
      </c>
      <c r="Y17" s="10">
        <f>IF(OR($E55="",$G55=""),0,1)</f>
        <v>0</v>
      </c>
    </row>
    <row r="18" spans="1:25" ht="12.75">
      <c r="A18" s="71" t="str">
        <f>Spielplan!$B27&amp;" "&amp;Spielplan!$C27</f>
        <v>16 B</v>
      </c>
      <c r="B18" s="60" t="str">
        <f>Spielplan!$E27</f>
        <v>Minis Mühlhausen/Rettigheim</v>
      </c>
      <c r="C18" s="61" t="s">
        <v>8</v>
      </c>
      <c r="D18" s="62" t="str">
        <f>Spielplan!$G27</f>
        <v>Miniators</v>
      </c>
      <c r="E18" s="14">
        <f>IF(Spielplan!$H27="","",Spielplan!$H27)</f>
      </c>
      <c r="F18" s="14" t="s">
        <v>9</v>
      </c>
      <c r="G18" s="14">
        <f>IF(Spielplan!$J27="","",Spielplan!$J27)</f>
      </c>
      <c r="H18" s="55">
        <f t="shared" si="2"/>
      </c>
      <c r="I18" s="55">
        <f t="shared" si="3"/>
      </c>
      <c r="K18" s="63" t="str">
        <f>Vorgaben!B3</f>
        <v>KJG Brühl</v>
      </c>
      <c r="L18" s="18">
        <f t="shared" si="4"/>
        <v>0</v>
      </c>
      <c r="M18" s="18">
        <f>SUM(I4,I14,H20,I28,H36,H47,I57)</f>
        <v>0</v>
      </c>
      <c r="N18" s="14">
        <f>SUM(G4,G14,E20,G28,E36,E47,G57)</f>
        <v>0</v>
      </c>
      <c r="O18" s="14" t="s">
        <v>9</v>
      </c>
      <c r="P18" s="14">
        <f>SUM(E4,E14,G20,E28,G36,G47,E57)</f>
        <v>0</v>
      </c>
      <c r="Q18" s="14">
        <f t="shared" si="5"/>
        <v>0</v>
      </c>
      <c r="S18" s="10">
        <f>IF(OR($E4="",$G4=""),0,1)</f>
        <v>0</v>
      </c>
      <c r="T18" s="10">
        <f>IF(OR($E14="",$G14=""),0,1)</f>
        <v>0</v>
      </c>
      <c r="U18" s="10">
        <f>IF(OR($E20="",$G20=""),0,1)</f>
        <v>0</v>
      </c>
      <c r="V18" s="10">
        <f>IF(OR($E28="",$G28=""),0,1)</f>
        <v>0</v>
      </c>
      <c r="W18" s="10">
        <f>IF(OR($E36="",$G36=""),0,1)</f>
        <v>0</v>
      </c>
      <c r="X18" s="10">
        <f>IF(OR($E47="",$G47=""),0,1)</f>
        <v>0</v>
      </c>
      <c r="Y18" s="10">
        <f>IF(OR($E57="",$G57=""),0,1)</f>
        <v>0</v>
      </c>
    </row>
    <row r="19" spans="1:25" ht="12.75">
      <c r="A19" s="17" t="str">
        <f>Spielplan!$B28&amp;" "&amp;Spielplan!$C28</f>
        <v>17 A</v>
      </c>
      <c r="B19" s="60" t="str">
        <f>Spielplan!$E28</f>
        <v>Natural Born Kickers</v>
      </c>
      <c r="C19" s="61" t="s">
        <v>8</v>
      </c>
      <c r="D19" s="62" t="str">
        <f>Spielplan!$G28</f>
        <v>St. Peter's Russelbande</v>
      </c>
      <c r="E19" s="14">
        <f>IF(Spielplan!$H28="","",Spielplan!$H28)</f>
      </c>
      <c r="F19" s="14" t="s">
        <v>9</v>
      </c>
      <c r="G19" s="14">
        <f>IF(Spielplan!$J28="","",Spielplan!$J28)</f>
      </c>
      <c r="H19" s="55">
        <f t="shared" si="2"/>
      </c>
      <c r="I19" s="55">
        <f t="shared" si="3"/>
      </c>
      <c r="K19" s="63" t="str">
        <f>Vorgaben!B4</f>
        <v>Inter Heiland</v>
      </c>
      <c r="L19" s="18">
        <f t="shared" si="4"/>
        <v>0</v>
      </c>
      <c r="M19" s="18">
        <f>SUM(H6,H12,I20,I30,I38,I51,H59)</f>
        <v>0</v>
      </c>
      <c r="N19" s="14">
        <f>SUM(E6,E12,G20,G30,G38,G51,E59)</f>
        <v>0</v>
      </c>
      <c r="O19" s="14" t="s">
        <v>9</v>
      </c>
      <c r="P19" s="14">
        <f>SUM(G6,G12,E20,E30,E38,E51,G59)</f>
        <v>0</v>
      </c>
      <c r="Q19" s="14">
        <f t="shared" si="5"/>
        <v>0</v>
      </c>
      <c r="S19" s="10">
        <f>IF(OR($E6="",$G6=""),0,1)</f>
        <v>0</v>
      </c>
      <c r="T19" s="10">
        <f>IF(OR($E12="",$G12=""),0,1)</f>
        <v>0</v>
      </c>
      <c r="U19" s="10">
        <f>IF(OR($E20="",$G20=""),0,1)</f>
        <v>0</v>
      </c>
      <c r="V19" s="10">
        <f>IF(OR($E30="",$G30=""),0,1)</f>
        <v>0</v>
      </c>
      <c r="W19" s="10">
        <f>IF(OR($E38="",$G38=""),0,1)</f>
        <v>0</v>
      </c>
      <c r="X19" s="10">
        <f>IF(OR($E51="",$G51=""),0,1)</f>
        <v>0</v>
      </c>
      <c r="Y19" s="10">
        <f>IF(OR($E59="",$G59=""),0,1)</f>
        <v>0</v>
      </c>
    </row>
    <row r="20" spans="1:25" ht="12.75">
      <c r="A20" s="71" t="str">
        <f>Spielplan!$B29&amp;" "&amp;Spielplan!$C29</f>
        <v>18 B</v>
      </c>
      <c r="B20" s="60" t="str">
        <f>Spielplan!$E29</f>
        <v>KJG Brühl</v>
      </c>
      <c r="C20" s="61" t="s">
        <v>8</v>
      </c>
      <c r="D20" s="62" t="str">
        <f>Spielplan!$G29</f>
        <v>Inter Heiland</v>
      </c>
      <c r="E20" s="14">
        <f>IF(Spielplan!$H29="","",Spielplan!$H29)</f>
      </c>
      <c r="F20" s="14" t="s">
        <v>9</v>
      </c>
      <c r="G20" s="14">
        <f>IF(Spielplan!$J29="","",Spielplan!$J29)</f>
      </c>
      <c r="H20" s="55">
        <f t="shared" si="2"/>
      </c>
      <c r="I20" s="55">
        <f t="shared" si="3"/>
      </c>
      <c r="K20" s="63" t="str">
        <f>Vorgaben!B5</f>
        <v>KJG Wiesloch</v>
      </c>
      <c r="L20" s="18">
        <f t="shared" si="4"/>
        <v>0</v>
      </c>
      <c r="M20" s="18">
        <f>SUM(I6,H14,H22,H34,H40,I44,I53)</f>
        <v>0</v>
      </c>
      <c r="N20" s="14">
        <f>SUM(G6,E14,E22,E34,E40,G44,G53)</f>
        <v>0</v>
      </c>
      <c r="O20" s="14" t="s">
        <v>9</v>
      </c>
      <c r="P20" s="14">
        <f>SUM(E6,G14,G22,G34,G40,E44,E53)</f>
        <v>0</v>
      </c>
      <c r="Q20" s="14">
        <f t="shared" si="5"/>
        <v>0</v>
      </c>
      <c r="S20" s="10">
        <f>IF(OR($E6="",$G6=""),0,1)</f>
        <v>0</v>
      </c>
      <c r="T20" s="10">
        <f>IF(OR($E14="",$G14=""),0,1)</f>
        <v>0</v>
      </c>
      <c r="U20" s="10">
        <f>IF(OR($E22="",$G22=""),0,1)</f>
        <v>0</v>
      </c>
      <c r="V20" s="10">
        <f>IF(OR($E34="",$G34=""),0,1)</f>
        <v>0</v>
      </c>
      <c r="W20" s="10">
        <f>IF(OR($E40="",$G40=""),0,1)</f>
        <v>0</v>
      </c>
      <c r="X20" s="10">
        <f>IF(OR($E44="",$G44=""),0,1)</f>
        <v>0</v>
      </c>
      <c r="Y20" s="10">
        <f>IF(OR($E53="",$G53=""),0,1)</f>
        <v>0</v>
      </c>
    </row>
    <row r="21" spans="1:25" ht="12.75">
      <c r="A21" s="17" t="str">
        <f>Spielplan!$B30&amp;" "&amp;Spielplan!$C30</f>
        <v>19 A</v>
      </c>
      <c r="B21" s="60" t="str">
        <f>Spielplan!$E30</f>
        <v>Minis Rot</v>
      </c>
      <c r="C21" s="61" t="s">
        <v>8</v>
      </c>
      <c r="D21" s="62" t="str">
        <f>Spielplan!$G30</f>
        <v>Himmelsstürmer</v>
      </c>
      <c r="E21" s="14">
        <f>IF(Spielplan!$H30="","",Spielplan!$H30)</f>
      </c>
      <c r="F21" s="14" t="s">
        <v>9</v>
      </c>
      <c r="G21" s="14">
        <f>IF(Spielplan!$J30="","",Spielplan!$J30)</f>
      </c>
      <c r="H21" s="55">
        <f t="shared" si="2"/>
      </c>
      <c r="I21" s="55">
        <f t="shared" si="3"/>
      </c>
      <c r="K21" s="63" t="str">
        <f>Vorgaben!B6</f>
        <v>Minis St. Nikolaus</v>
      </c>
      <c r="L21" s="18">
        <f t="shared" si="4"/>
        <v>0</v>
      </c>
      <c r="M21" s="18">
        <f>SUM(H8,I16,H24,H30,I36,H44,I55)</f>
        <v>0</v>
      </c>
      <c r="N21" s="14">
        <f>SUM(E8,G16,E24,E30,G36,E44,G55)</f>
        <v>0</v>
      </c>
      <c r="O21" s="14" t="s">
        <v>9</v>
      </c>
      <c r="P21" s="14">
        <f>SUM(G8,E16,G24,G30,E36,G44,E55)</f>
        <v>0</v>
      </c>
      <c r="Q21" s="14">
        <f t="shared" si="5"/>
        <v>0</v>
      </c>
      <c r="S21" s="10">
        <f>IF(OR($E8="",$G8=""),0,1)</f>
        <v>0</v>
      </c>
      <c r="T21" s="10">
        <f>IF(OR($E16="",$G16=""),0,1)</f>
        <v>0</v>
      </c>
      <c r="U21" s="10">
        <f>IF(OR($E24="",$G24=""),0,1)</f>
        <v>0</v>
      </c>
      <c r="V21" s="10">
        <f>IF(OR($E30="",$G30=""),0,1)</f>
        <v>0</v>
      </c>
      <c r="W21" s="10">
        <f>IF(OR($E36="",$G36=""),0,1)</f>
        <v>0</v>
      </c>
      <c r="X21" s="10">
        <f>IF(OR($E44="",$G44=""),0,1)</f>
        <v>0</v>
      </c>
      <c r="Y21" s="10">
        <f>IF(OR($E55="",$G55=""),0,1)</f>
        <v>0</v>
      </c>
    </row>
    <row r="22" spans="1:25" ht="12.75">
      <c r="A22" s="71" t="str">
        <f>Spielplan!$B31&amp;" "&amp;Spielplan!$C31</f>
        <v>20 B</v>
      </c>
      <c r="B22" s="60" t="str">
        <f>Spielplan!$E31</f>
        <v>KJG Wiesloch</v>
      </c>
      <c r="C22" s="61" t="s">
        <v>8</v>
      </c>
      <c r="D22" s="62" t="str">
        <f>Spielplan!$G31</f>
        <v>Mondspritzer Nußloch</v>
      </c>
      <c r="E22" s="14">
        <f>IF(Spielplan!$H31="","",Spielplan!$H31)</f>
      </c>
      <c r="F22" s="14" t="s">
        <v>9</v>
      </c>
      <c r="G22" s="14">
        <f>IF(Spielplan!$J31="","",Spielplan!$J31)</f>
      </c>
      <c r="H22" s="55">
        <f t="shared" si="2"/>
      </c>
      <c r="I22" s="55">
        <f t="shared" si="3"/>
      </c>
      <c r="K22" s="63" t="str">
        <f>Vorgaben!B7</f>
        <v>Minis Mühlhausen/Rettigheim</v>
      </c>
      <c r="L22" s="18">
        <f t="shared" si="4"/>
        <v>0</v>
      </c>
      <c r="M22" s="18">
        <f>SUM(I8,H18,H26,H32,I40,I47,I59)</f>
        <v>0</v>
      </c>
      <c r="N22" s="14">
        <f>SUM(G8,E18,E26,E32,G40,G47,G59)</f>
        <v>0</v>
      </c>
      <c r="O22" s="14" t="s">
        <v>9</v>
      </c>
      <c r="P22" s="14">
        <f>SUM(E8,G18,G26,G32,E40,E47,E59)</f>
        <v>0</v>
      </c>
      <c r="Q22" s="14">
        <f t="shared" si="5"/>
        <v>0</v>
      </c>
      <c r="S22" s="10">
        <f>IF(OR($E8="",$G8=""),0,1)</f>
        <v>0</v>
      </c>
      <c r="T22" s="10">
        <f>IF(OR($E18="",$G18=""),0,1)</f>
        <v>0</v>
      </c>
      <c r="U22" s="10">
        <f>IF(OR($E26="",$G26=""),0,1)</f>
        <v>0</v>
      </c>
      <c r="V22" s="10">
        <f>IF(OR($E32="",$G32=""),0,1)</f>
        <v>0</v>
      </c>
      <c r="W22" s="10">
        <f>IF(OR($E40="",$G40=""),0,1)</f>
        <v>0</v>
      </c>
      <c r="X22" s="10">
        <f>IF(OR($E47="",$G47=""),0,1)</f>
        <v>0</v>
      </c>
      <c r="Y22" s="10">
        <f>IF(OR($E59="",$G59=""),0,1)</f>
        <v>0</v>
      </c>
    </row>
    <row r="23" spans="1:25" ht="12.75">
      <c r="A23" s="17" t="str">
        <f>Spielplan!$B32&amp;" "&amp;Spielplan!$C32</f>
        <v>21 A</v>
      </c>
      <c r="B23" s="60" t="str">
        <f>Spielplan!$E32</f>
        <v>Kampfkarnickel</v>
      </c>
      <c r="C23" s="61" t="s">
        <v>8</v>
      </c>
      <c r="D23" s="62" t="str">
        <f>Spielplan!$G32</f>
        <v>KJG Burner</v>
      </c>
      <c r="E23" s="14">
        <f>IF(Spielplan!$H32="","",Spielplan!$H32)</f>
      </c>
      <c r="F23" s="14" t="s">
        <v>9</v>
      </c>
      <c r="G23" s="14">
        <f>IF(Spielplan!$J32="","",Spielplan!$J32)</f>
      </c>
      <c r="H23" s="55">
        <f t="shared" si="2"/>
      </c>
      <c r="I23" s="55">
        <f t="shared" si="3"/>
      </c>
      <c r="K23" s="63" t="str">
        <f>Vorgaben!B8</f>
        <v>FC Teufelskicker Engelhausen</v>
      </c>
      <c r="L23" s="18">
        <f t="shared" si="4"/>
        <v>0</v>
      </c>
      <c r="M23" s="18">
        <f>SUM(H10,H16,I26,I34,I42,H51,H57)</f>
        <v>0</v>
      </c>
      <c r="N23" s="14">
        <f>SUM(E10,E16,G26,G34,G42,E51,E57)</f>
        <v>0</v>
      </c>
      <c r="O23" s="14" t="s">
        <v>9</v>
      </c>
      <c r="P23" s="14">
        <f>SUM(G10,G16,E26,E34,E42,G51,G57)</f>
        <v>0</v>
      </c>
      <c r="Q23" s="14">
        <f t="shared" si="5"/>
        <v>0</v>
      </c>
      <c r="S23" s="10">
        <f>IF(OR($E10="",$G10=""),0,1)</f>
        <v>0</v>
      </c>
      <c r="T23" s="10">
        <f>IF(OR($E16="",$G16=""),0,1)</f>
        <v>0</v>
      </c>
      <c r="U23" s="10">
        <f>IF(OR($E26="",$G26=""),0,1)</f>
        <v>0</v>
      </c>
      <c r="V23" s="10">
        <f>IF(OR($E34="",$G34=""),0,1)</f>
        <v>0</v>
      </c>
      <c r="W23" s="10">
        <f>IF(OR($E42="",$G42=""),0,1)</f>
        <v>0</v>
      </c>
      <c r="X23" s="10">
        <f>IF(OR($E51="",$G51=""),0,1)</f>
        <v>0</v>
      </c>
      <c r="Y23" s="10">
        <f>IF(OR($E57="",$G57=""),0,1)</f>
        <v>0</v>
      </c>
    </row>
    <row r="24" spans="1:25" ht="12.75">
      <c r="A24" s="71" t="str">
        <f>Spielplan!$B33&amp;" "&amp;Spielplan!$C33</f>
        <v>22 B</v>
      </c>
      <c r="B24" s="60" t="str">
        <f>Spielplan!$E33</f>
        <v>Minis St. Nikolaus</v>
      </c>
      <c r="C24" s="61" t="s">
        <v>8</v>
      </c>
      <c r="D24" s="62" t="str">
        <f>Spielplan!$G33</f>
        <v>Miniators</v>
      </c>
      <c r="E24" s="14">
        <f>IF(Spielplan!$H33="","",Spielplan!$H33)</f>
      </c>
      <c r="F24" s="14" t="s">
        <v>9</v>
      </c>
      <c r="G24" s="14">
        <f>IF(Spielplan!$J33="","",Spielplan!$J33)</f>
      </c>
      <c r="H24" s="55">
        <f t="shared" si="2"/>
      </c>
      <c r="I24" s="55">
        <f t="shared" si="3"/>
      </c>
      <c r="K24" s="63" t="str">
        <f>Vorgaben!B9</f>
        <v>Miniators</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Spielplan!$B34&amp;" "&amp;Spielplan!$C34</f>
        <v>23 A</v>
      </c>
      <c r="B25" s="60" t="str">
        <f>Spielplan!$E34</f>
        <v>Minis Hl. Kreuz</v>
      </c>
      <c r="C25" s="61" t="s">
        <v>8</v>
      </c>
      <c r="D25" s="62" t="str">
        <f>Spielplan!$G34</f>
        <v>Minis Plankstadt </v>
      </c>
      <c r="E25" s="14">
        <f>IF(Spielplan!$H34="","",Spielplan!$H34)</f>
      </c>
      <c r="F25" s="14" t="s">
        <v>9</v>
      </c>
      <c r="G25" s="14">
        <f>IF(Spielplan!$J34="","",Spielplan!$J34)</f>
      </c>
      <c r="H25" s="55">
        <f t="shared" si="2"/>
      </c>
      <c r="I25" s="55">
        <f t="shared" si="3"/>
      </c>
    </row>
    <row r="26" spans="1:10" ht="12.75">
      <c r="A26" s="71" t="str">
        <f>Spielplan!$B35&amp;" "&amp;Spielplan!$C35</f>
        <v>24 B</v>
      </c>
      <c r="B26" s="60" t="str">
        <f>Spielplan!$E35</f>
        <v>Minis Mühlhausen/Rettigheim</v>
      </c>
      <c r="C26" s="61" t="s">
        <v>8</v>
      </c>
      <c r="D26" s="62" t="str">
        <f>Spielplan!$G35</f>
        <v>FC Teufelskicker Engelhausen</v>
      </c>
      <c r="E26" s="14">
        <f>IF(Spielplan!$H35="","",Spielplan!$H35)</f>
      </c>
      <c r="F26" s="14" t="s">
        <v>9</v>
      </c>
      <c r="G26" s="14">
        <f>IF(Spielplan!$J35="","",Spielplan!$J35)</f>
      </c>
      <c r="H26" s="55">
        <f t="shared" si="2"/>
      </c>
      <c r="I26" s="55">
        <f t="shared" si="3"/>
      </c>
      <c r="J26" s="20"/>
    </row>
    <row r="27" spans="1:9" ht="12.75">
      <c r="A27" s="17" t="str">
        <f>Spielplan!$B36&amp;" "&amp;Spielplan!$C36</f>
        <v>25 A</v>
      </c>
      <c r="B27" s="60" t="str">
        <f>Spielplan!$E36</f>
        <v>KJG Burner</v>
      </c>
      <c r="C27" s="61" t="s">
        <v>8</v>
      </c>
      <c r="D27" s="62" t="str">
        <f>Spielplan!$G36</f>
        <v>Natural Born Kickers</v>
      </c>
      <c r="E27" s="14">
        <f>IF(Spielplan!$H36="","",Spielplan!$H36)</f>
      </c>
      <c r="F27" s="14" t="s">
        <v>9</v>
      </c>
      <c r="G27" s="14">
        <f>IF(Spielplan!$J36="","",Spielplan!$J36)</f>
      </c>
      <c r="H27" s="55">
        <f t="shared" si="2"/>
      </c>
      <c r="I27" s="55">
        <f t="shared" si="3"/>
      </c>
    </row>
    <row r="28" spans="1:9" ht="12.75">
      <c r="A28" s="71" t="str">
        <f>Spielplan!$B37&amp;" "&amp;Spielplan!$C37</f>
        <v>26 B</v>
      </c>
      <c r="B28" s="60" t="str">
        <f>Spielplan!$E37</f>
        <v>Miniators</v>
      </c>
      <c r="C28" s="61" t="s">
        <v>8</v>
      </c>
      <c r="D28" s="62" t="str">
        <f>Spielplan!$G37</f>
        <v>KJG Brühl</v>
      </c>
      <c r="E28" s="14">
        <f>IF(Spielplan!$H37="","",Spielplan!$H37)</f>
      </c>
      <c r="F28" s="14" t="s">
        <v>9</v>
      </c>
      <c r="G28" s="14">
        <f>IF(Spielplan!$J37="","",Spielplan!$J37)</f>
      </c>
      <c r="H28" s="55">
        <f t="shared" si="2"/>
      </c>
      <c r="I28" s="55">
        <f t="shared" si="3"/>
      </c>
    </row>
    <row r="29" spans="1:9" ht="12.75">
      <c r="A29" s="17" t="str">
        <f>Spielplan!$B38&amp;" "&amp;Spielplan!$C38</f>
        <v>27 A</v>
      </c>
      <c r="B29" s="60" t="str">
        <f>Spielplan!$E38</f>
        <v>Kampfkarnickel</v>
      </c>
      <c r="C29" s="61" t="s">
        <v>8</v>
      </c>
      <c r="D29" s="62" t="str">
        <f>Spielplan!$G38</f>
        <v>St. Peter's Russelbande</v>
      </c>
      <c r="E29" s="14">
        <f>IF(Spielplan!$H38="","",Spielplan!$H38)</f>
      </c>
      <c r="F29" s="14" t="s">
        <v>9</v>
      </c>
      <c r="G29" s="14">
        <f>IF(Spielplan!$J38="","",Spielplan!$J38)</f>
      </c>
      <c r="H29" s="55">
        <f t="shared" si="2"/>
      </c>
      <c r="I29" s="55">
        <f t="shared" si="3"/>
      </c>
    </row>
    <row r="30" spans="1:9" ht="12.75">
      <c r="A30" s="71" t="str">
        <f>Spielplan!$B39&amp;" "&amp;Spielplan!$C39</f>
        <v>28 B</v>
      </c>
      <c r="B30" s="60" t="str">
        <f>Spielplan!$E39</f>
        <v>Minis St. Nikolaus</v>
      </c>
      <c r="C30" s="61" t="s">
        <v>8</v>
      </c>
      <c r="D30" s="62" t="str">
        <f>Spielplan!$G39</f>
        <v>Inter Heiland</v>
      </c>
      <c r="E30" s="14">
        <f>IF(Spielplan!$H39="","",Spielplan!$H39)</f>
      </c>
      <c r="F30" s="14" t="s">
        <v>9</v>
      </c>
      <c r="G30" s="14">
        <f>IF(Spielplan!$J39="","",Spielplan!$J39)</f>
      </c>
      <c r="H30" s="55">
        <f t="shared" si="2"/>
      </c>
      <c r="I30" s="55">
        <f t="shared" si="3"/>
      </c>
    </row>
    <row r="31" spans="1:9" ht="12.75">
      <c r="A31" s="17" t="str">
        <f>Spielplan!$B40&amp;" "&amp;Spielplan!$C40</f>
        <v>29 A</v>
      </c>
      <c r="B31" s="60" t="str">
        <f>Spielplan!$E40</f>
        <v>Minis Hl. Kreuz</v>
      </c>
      <c r="C31" s="61" t="s">
        <v>8</v>
      </c>
      <c r="D31" s="62" t="str">
        <f>Spielplan!$G40</f>
        <v>Himmelsstürmer</v>
      </c>
      <c r="E31" s="14">
        <f>IF(Spielplan!$H40="","",Spielplan!$H40)</f>
      </c>
      <c r="F31" s="14" t="s">
        <v>9</v>
      </c>
      <c r="G31" s="14">
        <f>IF(Spielplan!$J40="","",Spielplan!$J40)</f>
      </c>
      <c r="H31" s="55">
        <f t="shared" si="2"/>
      </c>
      <c r="I31" s="55">
        <f t="shared" si="3"/>
      </c>
    </row>
    <row r="32" spans="1:9" ht="12.75">
      <c r="A32" s="71" t="str">
        <f>Spielplan!$B41&amp;" "&amp;Spielplan!$C41</f>
        <v>30 B</v>
      </c>
      <c r="B32" s="60" t="str">
        <f>Spielplan!$E41</f>
        <v>Minis Mühlhausen/Rettigheim</v>
      </c>
      <c r="C32" s="61" t="s">
        <v>8</v>
      </c>
      <c r="D32" s="62" t="str">
        <f>Spielplan!$G41</f>
        <v>Mondspritzer Nußloch</v>
      </c>
      <c r="E32" s="14">
        <f>IF(Spielplan!$H41="","",Spielplan!$H41)</f>
      </c>
      <c r="F32" s="14" t="s">
        <v>9</v>
      </c>
      <c r="G32" s="14">
        <f>IF(Spielplan!$J41="","",Spielplan!$J41)</f>
      </c>
      <c r="H32" s="55">
        <f t="shared" si="2"/>
      </c>
      <c r="I32" s="55">
        <f t="shared" si="3"/>
      </c>
    </row>
    <row r="33" spans="1:9" ht="12.75">
      <c r="A33" s="17" t="str">
        <f>Spielplan!$B42&amp;" "&amp;Spielplan!$C42</f>
        <v>31 A</v>
      </c>
      <c r="B33" s="60" t="str">
        <f>Spielplan!$E42</f>
        <v>Minis Rot</v>
      </c>
      <c r="C33" s="61" t="s">
        <v>8</v>
      </c>
      <c r="D33" s="62" t="str">
        <f>Spielplan!$G42</f>
        <v>Minis Plankstadt </v>
      </c>
      <c r="E33" s="14">
        <f>IF(Spielplan!$H42="","",Spielplan!$H42)</f>
      </c>
      <c r="F33" s="14" t="s">
        <v>9</v>
      </c>
      <c r="G33" s="14">
        <f>IF(Spielplan!$J42="","",Spielplan!$J42)</f>
      </c>
      <c r="H33" s="55">
        <f t="shared" si="2"/>
      </c>
      <c r="I33" s="55">
        <f t="shared" si="3"/>
      </c>
    </row>
    <row r="34" spans="1:9" ht="12.75">
      <c r="A34" s="71" t="str">
        <f>Spielplan!$B43&amp;" "&amp;Spielplan!$C43</f>
        <v>32 B</v>
      </c>
      <c r="B34" s="60" t="str">
        <f>Spielplan!$E43</f>
        <v>KJG Wiesloch</v>
      </c>
      <c r="C34" s="61" t="s">
        <v>8</v>
      </c>
      <c r="D34" s="62" t="str">
        <f>Spielplan!$G43</f>
        <v>FC Teufelskicker Engelhausen</v>
      </c>
      <c r="E34" s="14">
        <f>IF(Spielplan!$H43="","",Spielplan!$H43)</f>
      </c>
      <c r="F34" s="14" t="s">
        <v>9</v>
      </c>
      <c r="G34" s="14">
        <f>IF(Spielplan!$J43="","",Spielplan!$J43)</f>
      </c>
      <c r="H34" s="55">
        <f t="shared" si="2"/>
      </c>
      <c r="I34" s="55">
        <f t="shared" si="3"/>
      </c>
    </row>
    <row r="35" spans="1:9" ht="12.75">
      <c r="A35" s="17" t="str">
        <f>Spielplan!$B44&amp;" "&amp;Spielplan!$C44</f>
        <v>33 A</v>
      </c>
      <c r="B35" s="60" t="str">
        <f>Spielplan!$E44</f>
        <v>Natural Born Kickers</v>
      </c>
      <c r="C35" s="61" t="s">
        <v>8</v>
      </c>
      <c r="D35" s="62" t="str">
        <f>Spielplan!$G44</f>
        <v>Kampfkarnickel</v>
      </c>
      <c r="E35" s="14">
        <f>IF(Spielplan!$H44="","",Spielplan!$H44)</f>
      </c>
      <c r="F35" s="14" t="s">
        <v>9</v>
      </c>
      <c r="G35" s="14">
        <f>IF(Spielplan!$J44="","",Spielplan!$J44)</f>
      </c>
      <c r="H35" s="55">
        <f t="shared" si="2"/>
      </c>
      <c r="I35" s="55">
        <f t="shared" si="3"/>
      </c>
    </row>
    <row r="36" spans="1:9" ht="12.75">
      <c r="A36" s="71" t="str">
        <f>Spielplan!$B45&amp;" "&amp;Spielplan!$C45</f>
        <v>34 B</v>
      </c>
      <c r="B36" s="60" t="str">
        <f>Spielplan!$E45</f>
        <v>KJG Brühl</v>
      </c>
      <c r="C36" s="61" t="s">
        <v>8</v>
      </c>
      <c r="D36" s="62" t="str">
        <f>Spielplan!$G45</f>
        <v>Minis St. Nikolaus</v>
      </c>
      <c r="E36" s="14">
        <f>IF(Spielplan!$H45="","",Spielplan!$H45)</f>
      </c>
      <c r="F36" s="14" t="s">
        <v>9</v>
      </c>
      <c r="G36" s="14">
        <f>IF(Spielplan!$J45="","",Spielplan!$J45)</f>
      </c>
      <c r="H36" s="55">
        <f t="shared" si="2"/>
      </c>
      <c r="I36" s="55">
        <f t="shared" si="3"/>
      </c>
    </row>
    <row r="37" spans="1:9" ht="12.75">
      <c r="A37" s="17" t="str">
        <f>Spielplan!$B46&amp;" "&amp;Spielplan!$C46</f>
        <v>35 A</v>
      </c>
      <c r="B37" s="60" t="str">
        <f>Spielplan!$E46</f>
        <v>KJG Burner</v>
      </c>
      <c r="C37" s="61" t="s">
        <v>8</v>
      </c>
      <c r="D37" s="62" t="str">
        <f>Spielplan!$G46</f>
        <v>St. Peter's Russelbande</v>
      </c>
      <c r="E37" s="14">
        <f>IF(Spielplan!$H46="","",Spielplan!$H46)</f>
      </c>
      <c r="F37" s="14" t="s">
        <v>9</v>
      </c>
      <c r="G37" s="14">
        <f>IF(Spielplan!$J46="","",Spielplan!$J46)</f>
      </c>
      <c r="H37" s="55">
        <f t="shared" si="2"/>
      </c>
      <c r="I37" s="55">
        <f t="shared" si="3"/>
      </c>
    </row>
    <row r="38" spans="1:9" ht="12.75">
      <c r="A38" s="71" t="str">
        <f>Spielplan!$B47&amp;" "&amp;Spielplan!$C47</f>
        <v>36 B</v>
      </c>
      <c r="B38" s="60" t="str">
        <f>Spielplan!$E47</f>
        <v>Miniators</v>
      </c>
      <c r="C38" s="61" t="s">
        <v>8</v>
      </c>
      <c r="D38" s="62" t="str">
        <f>Spielplan!$G47</f>
        <v>Inter Heiland</v>
      </c>
      <c r="E38" s="14">
        <f>IF(Spielplan!$H47="","",Spielplan!$H47)</f>
      </c>
      <c r="F38" s="14" t="s">
        <v>9</v>
      </c>
      <c r="G38" s="14">
        <f>IF(Spielplan!$J47="","",Spielplan!$J47)</f>
      </c>
      <c r="H38" s="55">
        <f t="shared" si="2"/>
      </c>
      <c r="I38" s="55">
        <f t="shared" si="3"/>
      </c>
    </row>
    <row r="39" spans="1:9" ht="12.75">
      <c r="A39" s="17" t="str">
        <f>Spielplan!$B48&amp;" "&amp;Spielplan!$C48</f>
        <v>37 A</v>
      </c>
      <c r="B39" s="60" t="str">
        <f>Spielplan!$E48</f>
        <v>Minis Rot</v>
      </c>
      <c r="C39" s="61" t="s">
        <v>8</v>
      </c>
      <c r="D39" s="62" t="str">
        <f>Spielplan!$G48</f>
        <v>Minis Hl. Kreuz</v>
      </c>
      <c r="E39" s="14">
        <f>IF(Spielplan!$H48="","",Spielplan!$H48)</f>
      </c>
      <c r="F39" s="14" t="s">
        <v>9</v>
      </c>
      <c r="G39" s="14">
        <f>IF(Spielplan!$J48="","",Spielplan!$J48)</f>
      </c>
      <c r="H39" s="55">
        <f t="shared" si="2"/>
      </c>
      <c r="I39" s="55">
        <f t="shared" si="3"/>
      </c>
    </row>
    <row r="40" spans="1:9" ht="12.75">
      <c r="A40" s="71" t="str">
        <f>Spielplan!$B49&amp;" "&amp;Spielplan!$C49</f>
        <v>38 B</v>
      </c>
      <c r="B40" s="60" t="str">
        <f>Spielplan!$E49</f>
        <v>KJG Wiesloch</v>
      </c>
      <c r="C40" s="61" t="s">
        <v>8</v>
      </c>
      <c r="D40" s="62" t="str">
        <f>Spielplan!$G49</f>
        <v>Minis Mühlhausen/Rettigheim</v>
      </c>
      <c r="E40" s="14">
        <f>IF(Spielplan!$H49="","",Spielplan!$H49)</f>
      </c>
      <c r="F40" s="14" t="s">
        <v>9</v>
      </c>
      <c r="G40" s="14">
        <f>IF(Spielplan!$J49="","",Spielplan!$J49)</f>
      </c>
      <c r="H40" s="55">
        <f t="shared" si="2"/>
      </c>
      <c r="I40" s="55">
        <f t="shared" si="3"/>
      </c>
    </row>
    <row r="41" spans="1:9" ht="12.75">
      <c r="A41" s="17" t="str">
        <f>Spielplan!$B50&amp;" "&amp;Spielplan!$C50</f>
        <v>39 A</v>
      </c>
      <c r="B41" s="60" t="str">
        <f>Spielplan!$E50</f>
        <v>Himmelsstürmer</v>
      </c>
      <c r="C41" s="61" t="s">
        <v>8</v>
      </c>
      <c r="D41" s="62" t="str">
        <f>Spielplan!$G50</f>
        <v>Minis Plankstadt </v>
      </c>
      <c r="E41" s="14">
        <f>IF(Spielplan!$H50="","",Spielplan!$H50)</f>
        <v>2</v>
      </c>
      <c r="F41" s="14" t="s">
        <v>9</v>
      </c>
      <c r="G41" s="14">
        <f>IF(Spielplan!$J50="","",Spielplan!$J50)</f>
        <v>1</v>
      </c>
      <c r="H41" s="55">
        <f t="shared" si="2"/>
        <v>3</v>
      </c>
      <c r="I41" s="55">
        <f t="shared" si="3"/>
        <v>0</v>
      </c>
    </row>
    <row r="42" spans="1:9" ht="12.75">
      <c r="A42" s="71" t="str">
        <f>Spielplan!$B51&amp;" "&amp;Spielplan!$C51</f>
        <v>40 B</v>
      </c>
      <c r="B42" s="60" t="str">
        <f>Spielplan!$E51</f>
        <v>Mondspritzer Nußloch</v>
      </c>
      <c r="C42" s="61" t="s">
        <v>8</v>
      </c>
      <c r="D42" s="62" t="str">
        <f>Spielplan!$G51</f>
        <v>FC Teufelskicker Engelhausen</v>
      </c>
      <c r="E42" s="14">
        <f>IF(Spielplan!$H51="","",Spielplan!$H51)</f>
      </c>
      <c r="F42" s="14" t="s">
        <v>9</v>
      </c>
      <c r="G42" s="14">
        <f>IF(Spielplan!$J51="","",Spielplan!$J51)</f>
      </c>
      <c r="H42" s="55">
        <f t="shared" si="2"/>
      </c>
      <c r="I42" s="55">
        <f t="shared" si="3"/>
      </c>
    </row>
    <row r="43" spans="1:9" ht="12.75">
      <c r="A43" s="17" t="str">
        <f>Spielplan!$B52&amp;" "&amp;Spielplan!$C52</f>
        <v>41 A</v>
      </c>
      <c r="B43" s="60" t="str">
        <f>Spielplan!$E52</f>
        <v>Kampfkarnickel</v>
      </c>
      <c r="C43" s="61" t="s">
        <v>8</v>
      </c>
      <c r="D43" s="62" t="str">
        <f>Spielplan!$G52</f>
        <v>Minis Rot</v>
      </c>
      <c r="E43" s="14">
        <f>IF(Spielplan!$H52="","",Spielplan!$H52)</f>
      </c>
      <c r="F43" s="14" t="s">
        <v>9</v>
      </c>
      <c r="G43" s="14">
        <f>IF(Spielplan!$J52="","",Spielplan!$J52)</f>
      </c>
      <c r="H43" s="55">
        <f t="shared" si="2"/>
      </c>
      <c r="I43" s="55">
        <f t="shared" si="3"/>
      </c>
    </row>
    <row r="44" spans="1:9" ht="12.75">
      <c r="A44" s="71" t="str">
        <f>Spielplan!$B53&amp;" "&amp;Spielplan!$C53</f>
        <v>42 B</v>
      </c>
      <c r="B44" s="60" t="str">
        <f>Spielplan!$E53</f>
        <v>Minis St. Nikolaus</v>
      </c>
      <c r="C44" s="61" t="s">
        <v>8</v>
      </c>
      <c r="D44" s="62" t="str">
        <f>Spielplan!$G53</f>
        <v>KJG Wiesloch</v>
      </c>
      <c r="E44" s="14">
        <f>IF(Spielplan!$H53="","",Spielplan!$H53)</f>
      </c>
      <c r="F44" s="14" t="s">
        <v>9</v>
      </c>
      <c r="G44" s="14">
        <f>IF(Spielplan!$J53="","",Spielplan!$J53)</f>
      </c>
      <c r="H44" s="55">
        <f t="shared" si="2"/>
      </c>
      <c r="I44" s="55">
        <f t="shared" si="3"/>
      </c>
    </row>
    <row r="45" spans="1:9" ht="12.75">
      <c r="A45" s="17" t="e">
        <f>Spielplan!#REF!&amp;" "&amp;Spielplan!#REF!</f>
        <v>#REF!</v>
      </c>
      <c r="B45" s="60" t="e">
        <f>Spielplan!#REF!</f>
        <v>#REF!</v>
      </c>
      <c r="C45" s="61" t="s">
        <v>8</v>
      </c>
      <c r="D45" s="62" t="e">
        <f>Spielplan!#REF!</f>
        <v>#REF!</v>
      </c>
      <c r="E45" s="14" t="e">
        <f>IF(Spielplan!#REF!="","",Spielplan!#REF!)</f>
        <v>#REF!</v>
      </c>
      <c r="F45" s="14" t="s">
        <v>9</v>
      </c>
      <c r="G45" s="14" t="e">
        <f>IF(Spielplan!#REF!="","",Spielplan!#REF!)</f>
        <v>#REF!</v>
      </c>
      <c r="H45" s="55" t="e">
        <f aca="true" t="shared" si="6" ref="H45:H59">IF(OR($E45="",$G45=""),"",IF(E45&gt;G45,3,IF(E45=G45,1,0)))</f>
        <v>#REF!</v>
      </c>
      <c r="I45" s="55" t="e">
        <f aca="true" t="shared" si="7" ref="I45:I59">IF(OR($E45="",$G45=""),"",IF(G45&gt;E45,3,IF(E45=G45,1,0)))</f>
        <v>#REF!</v>
      </c>
    </row>
    <row r="46" spans="1:9" ht="12.75">
      <c r="A46" s="17" t="str">
        <f>Spielplan!$B54&amp;" "&amp;Spielplan!$C54</f>
        <v>43 A</v>
      </c>
      <c r="B46" s="60" t="str">
        <f>Spielplan!$E54</f>
        <v>Natural Born Kickers</v>
      </c>
      <c r="C46" s="61" t="s">
        <v>8</v>
      </c>
      <c r="D46" s="62" t="str">
        <f>Spielplan!$G54</f>
        <v>Minis Hl. Kreuz</v>
      </c>
      <c r="E46" s="14">
        <f>IF(Spielplan!$H54="","",Spielplan!$H54)</f>
      </c>
      <c r="F46" s="14" t="s">
        <v>9</v>
      </c>
      <c r="G46" s="14">
        <f>IF(Spielplan!$J54="","",Spielplan!$J54)</f>
      </c>
      <c r="H46" s="55">
        <f t="shared" si="6"/>
      </c>
      <c r="I46" s="55">
        <f t="shared" si="7"/>
      </c>
    </row>
    <row r="47" spans="1:9" ht="12.75">
      <c r="A47" s="71" t="str">
        <f>Spielplan!$B55&amp;" "&amp;Spielplan!$C55</f>
        <v>44 B</v>
      </c>
      <c r="B47" s="60" t="str">
        <f>Spielplan!$E55</f>
        <v>KJG Brühl</v>
      </c>
      <c r="C47" s="61" t="s">
        <v>8</v>
      </c>
      <c r="D47" s="62" t="str">
        <f>Spielplan!$G55</f>
        <v>Minis Mühlhausen/Rettigheim</v>
      </c>
      <c r="E47" s="14">
        <f>IF(Spielplan!$H55="","",Spielplan!$H55)</f>
      </c>
      <c r="F47" s="14" t="s">
        <v>9</v>
      </c>
      <c r="G47" s="14">
        <f>IF(Spielplan!$J55="","",Spielplan!$J55)</f>
      </c>
      <c r="H47" s="55">
        <f t="shared" si="6"/>
      </c>
      <c r="I47" s="55">
        <f t="shared" si="7"/>
      </c>
    </row>
    <row r="48" spans="1:9" ht="12.75">
      <c r="A48" s="17" t="str">
        <f>Spielplan!$B56&amp;" "&amp;Spielplan!$C56</f>
        <v>45 A</v>
      </c>
      <c r="B48" s="60" t="str">
        <f>Spielplan!$E56</f>
        <v>Himmelsstürmer</v>
      </c>
      <c r="C48" s="61" t="s">
        <v>8</v>
      </c>
      <c r="D48" s="62" t="str">
        <f>Spielplan!$G56</f>
        <v>KJG Burner</v>
      </c>
      <c r="E48" s="14">
        <f>IF(Spielplan!$H56="","",Spielplan!$H56)</f>
      </c>
      <c r="F48" s="14" t="s">
        <v>9</v>
      </c>
      <c r="G48" s="14">
        <f>IF(Spielplan!$J56="","",Spielplan!$J56)</f>
      </c>
      <c r="H48" s="55">
        <f t="shared" si="6"/>
      </c>
      <c r="I48" s="55">
        <f t="shared" si="7"/>
      </c>
    </row>
    <row r="49" spans="1:9" ht="12.75">
      <c r="A49" s="71" t="str">
        <f>Spielplan!$B57&amp;" "&amp;Spielplan!$C57</f>
        <v>46 B</v>
      </c>
      <c r="B49" s="60" t="str">
        <f>Spielplan!$E57</f>
        <v>Mondspritzer Nußloch</v>
      </c>
      <c r="C49" s="61" t="s">
        <v>8</v>
      </c>
      <c r="D49" s="62" t="str">
        <f>Spielplan!$G57</f>
        <v>Miniators</v>
      </c>
      <c r="E49" s="14">
        <f>IF(Spielplan!$H57="","",Spielplan!$H57)</f>
      </c>
      <c r="F49" s="14" t="s">
        <v>9</v>
      </c>
      <c r="G49" s="14">
        <f>IF(Spielplan!$J57="","",Spielplan!$J57)</f>
      </c>
      <c r="H49" s="55">
        <f t="shared" si="6"/>
      </c>
      <c r="I49" s="55">
        <f t="shared" si="7"/>
      </c>
    </row>
    <row r="50" spans="1:9" ht="12.75">
      <c r="A50" s="17" t="str">
        <f>Spielplan!$B58&amp;" "&amp;Spielplan!$C58</f>
        <v>47 A</v>
      </c>
      <c r="B50" s="60" t="str">
        <f>Spielplan!$E58</f>
        <v>Minis Plankstadt </v>
      </c>
      <c r="C50" s="61" t="s">
        <v>8</v>
      </c>
      <c r="D50" s="62" t="str">
        <f>Spielplan!$G58</f>
        <v>St. Peter's Russelbande</v>
      </c>
      <c r="E50" s="14">
        <f>IF(Spielplan!$H58="","",Spielplan!$H58)</f>
      </c>
      <c r="F50" s="14" t="s">
        <v>9</v>
      </c>
      <c r="G50" s="14">
        <f>IF(Spielplan!$J58="","",Spielplan!$J58)</f>
      </c>
      <c r="H50" s="55">
        <f t="shared" si="6"/>
      </c>
      <c r="I50" s="55">
        <f t="shared" si="7"/>
      </c>
    </row>
    <row r="51" spans="1:9" ht="12.75">
      <c r="A51" s="71" t="str">
        <f>Spielplan!$B59&amp;" "&amp;Spielplan!$C59</f>
        <v>48 B</v>
      </c>
      <c r="B51" s="60" t="str">
        <f>Spielplan!$E59</f>
        <v>FC Teufelskicker Engelhausen</v>
      </c>
      <c r="C51" s="61" t="s">
        <v>8</v>
      </c>
      <c r="D51" s="62" t="str">
        <f>Spielplan!$G59</f>
        <v>Inter Heiland</v>
      </c>
      <c r="E51" s="14">
        <f>IF(Spielplan!$H59="","",Spielplan!$H59)</f>
      </c>
      <c r="F51" s="14" t="s">
        <v>9</v>
      </c>
      <c r="G51" s="14">
        <f>IF(Spielplan!$J59="","",Spielplan!$J59)</f>
      </c>
      <c r="H51" s="55">
        <f t="shared" si="6"/>
      </c>
      <c r="I51" s="55">
        <f t="shared" si="7"/>
      </c>
    </row>
    <row r="52" spans="1:9" ht="12.75">
      <c r="A52" s="17" t="str">
        <f>Spielplan!$B60&amp;" "&amp;Spielplan!$C60</f>
        <v>49 A</v>
      </c>
      <c r="B52" s="60" t="str">
        <f>Spielplan!$E60</f>
        <v>KJG Burner</v>
      </c>
      <c r="C52" s="61" t="s">
        <v>8</v>
      </c>
      <c r="D52" s="62" t="str">
        <f>Spielplan!$G60</f>
        <v>Minis Rot</v>
      </c>
      <c r="E52" s="14">
        <f>IF(Spielplan!$H60="","",Spielplan!$H60)</f>
      </c>
      <c r="F52" s="14" t="s">
        <v>9</v>
      </c>
      <c r="G52" s="14">
        <f>IF(Spielplan!$J60="","",Spielplan!$J60)</f>
      </c>
      <c r="H52" s="55">
        <f t="shared" si="6"/>
      </c>
      <c r="I52" s="55">
        <f t="shared" si="7"/>
      </c>
    </row>
    <row r="53" spans="1:9" ht="12.75">
      <c r="A53" s="71" t="str">
        <f>Spielplan!$B61&amp;" "&amp;Spielplan!$C61</f>
        <v>50 B</v>
      </c>
      <c r="B53" s="60" t="str">
        <f>Spielplan!$E61</f>
        <v>Miniators</v>
      </c>
      <c r="C53" s="61" t="s">
        <v>8</v>
      </c>
      <c r="D53" s="62" t="str">
        <f>Spielplan!$G61</f>
        <v>KJG Wiesloch</v>
      </c>
      <c r="E53" s="14">
        <f>IF(Spielplan!$H61="","",Spielplan!$H61)</f>
      </c>
      <c r="F53" s="14" t="s">
        <v>9</v>
      </c>
      <c r="G53" s="14">
        <f>IF(Spielplan!$J61="","",Spielplan!$J61)</f>
      </c>
      <c r="H53" s="55">
        <f t="shared" si="6"/>
      </c>
      <c r="I53" s="55">
        <f t="shared" si="7"/>
      </c>
    </row>
    <row r="54" spans="1:9" ht="12.75">
      <c r="A54" s="17" t="str">
        <f>Spielplan!$B62&amp;" "&amp;Spielplan!$C62</f>
        <v>51 A</v>
      </c>
      <c r="B54" s="60" t="str">
        <f>Spielplan!$E62</f>
        <v>Himmelsstürmer</v>
      </c>
      <c r="C54" s="61" t="s">
        <v>8</v>
      </c>
      <c r="D54" s="62" t="str">
        <f>Spielplan!$G62</f>
        <v>Kampfkarnickel</v>
      </c>
      <c r="E54" s="14">
        <f>IF(Spielplan!$H62="","",Spielplan!$H62)</f>
      </c>
      <c r="F54" s="14" t="s">
        <v>9</v>
      </c>
      <c r="G54" s="14">
        <f>IF(Spielplan!$J62="","",Spielplan!$J62)</f>
      </c>
      <c r="H54" s="55">
        <f t="shared" si="6"/>
      </c>
      <c r="I54" s="55">
        <f t="shared" si="7"/>
      </c>
    </row>
    <row r="55" spans="1:9" ht="12.75">
      <c r="A55" s="71" t="str">
        <f>Spielplan!$B63&amp;" "&amp;Spielplan!$C63</f>
        <v>52 B</v>
      </c>
      <c r="B55" s="60" t="str">
        <f>Spielplan!$E63</f>
        <v>Mondspritzer Nußloch</v>
      </c>
      <c r="C55" s="61" t="s">
        <v>8</v>
      </c>
      <c r="D55" s="62" t="str">
        <f>Spielplan!$G63</f>
        <v>Minis St. Nikolaus</v>
      </c>
      <c r="E55" s="14">
        <f>IF(Spielplan!$H63="","",Spielplan!$H63)</f>
      </c>
      <c r="F55" s="14" t="s">
        <v>9</v>
      </c>
      <c r="G55" s="14">
        <f>IF(Spielplan!$J63="","",Spielplan!$J63)</f>
      </c>
      <c r="H55" s="55">
        <f t="shared" si="6"/>
      </c>
      <c r="I55" s="55">
        <f t="shared" si="7"/>
      </c>
    </row>
    <row r="56" spans="1:9" ht="12.75">
      <c r="A56" s="17" t="str">
        <f>Spielplan!$B64&amp;" "&amp;Spielplan!$C64</f>
        <v>53 A</v>
      </c>
      <c r="B56" s="60" t="str">
        <f>Spielplan!$E64</f>
        <v>Minis Plankstadt </v>
      </c>
      <c r="C56" s="61" t="s">
        <v>8</v>
      </c>
      <c r="D56" s="62" t="str">
        <f>Spielplan!$G64</f>
        <v>Natural Born Kickers</v>
      </c>
      <c r="E56" s="14">
        <f>IF(Spielplan!$H64="","",Spielplan!$H64)</f>
      </c>
      <c r="F56" s="14" t="s">
        <v>9</v>
      </c>
      <c r="G56" s="14">
        <f>IF(Spielplan!$J64="","",Spielplan!$J64)</f>
      </c>
      <c r="H56" s="55">
        <f t="shared" si="6"/>
      </c>
      <c r="I56" s="55">
        <f t="shared" si="7"/>
      </c>
    </row>
    <row r="57" spans="1:9" ht="12.75">
      <c r="A57" s="71" t="str">
        <f>Spielplan!$B65&amp;" "&amp;Spielplan!$C65</f>
        <v>54 B</v>
      </c>
      <c r="B57" s="60" t="str">
        <f>Spielplan!$E65</f>
        <v>FC Teufelskicker Engelhausen</v>
      </c>
      <c r="C57" s="61" t="s">
        <v>8</v>
      </c>
      <c r="D57" s="62" t="str">
        <f>Spielplan!$G65</f>
        <v>KJG Brühl</v>
      </c>
      <c r="E57" s="14">
        <f>IF(Spielplan!$H65="","",Spielplan!$H65)</f>
      </c>
      <c r="F57" s="14" t="s">
        <v>9</v>
      </c>
      <c r="G57" s="14">
        <f>IF(Spielplan!$J65="","",Spielplan!$J65)</f>
      </c>
      <c r="H57" s="55">
        <f t="shared" si="6"/>
      </c>
      <c r="I57" s="55">
        <f t="shared" si="7"/>
      </c>
    </row>
    <row r="58" spans="1:9" ht="12.75">
      <c r="A58" s="17" t="str">
        <f>Spielplan!$B66&amp;" "&amp;Spielplan!$C66</f>
        <v>55 A</v>
      </c>
      <c r="B58" s="60" t="str">
        <f>Spielplan!$E66</f>
        <v>St. Peter's Russelbande</v>
      </c>
      <c r="C58" s="61" t="s">
        <v>8</v>
      </c>
      <c r="D58" s="62" t="str">
        <f>Spielplan!$G66</f>
        <v>Minis Hl. Kreuz</v>
      </c>
      <c r="E58" s="14">
        <f>IF(Spielplan!$H66="","",Spielplan!$H66)</f>
      </c>
      <c r="F58" s="14" t="s">
        <v>9</v>
      </c>
      <c r="G58" s="14">
        <f>IF(Spielplan!$J66="","",Spielplan!$J66)</f>
      </c>
      <c r="H58" s="55">
        <f t="shared" si="6"/>
      </c>
      <c r="I58" s="55">
        <f t="shared" si="7"/>
      </c>
    </row>
    <row r="59" spans="1:9" ht="12.75">
      <c r="A59" s="71" t="str">
        <f>Spielplan!$B67&amp;" "&amp;Spielplan!$C67</f>
        <v>56 B</v>
      </c>
      <c r="B59" s="60" t="str">
        <f>Spielplan!$E67</f>
        <v>Inter Heiland</v>
      </c>
      <c r="C59" s="61" t="s">
        <v>8</v>
      </c>
      <c r="D59" s="62" t="str">
        <f>Spielplan!$G67</f>
        <v>Minis Mühlhausen/Rettigheim</v>
      </c>
      <c r="E59" s="14">
        <f>IF(Spielplan!$H67="","",Spielplan!$H67)</f>
      </c>
      <c r="F59" s="14" t="s">
        <v>9</v>
      </c>
      <c r="G59" s="14">
        <f>IF(Spielplan!$J67="","",Spielplan!$J67)</f>
      </c>
      <c r="H59" s="55">
        <f t="shared" si="6"/>
      </c>
      <c r="I59" s="55">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Eugen Wickenhäuser</cp:lastModifiedBy>
  <cp:lastPrinted>2014-06-17T09:16:05Z</cp:lastPrinted>
  <dcterms:created xsi:type="dcterms:W3CDTF">1999-01-27T19:57:19Z</dcterms:created>
  <dcterms:modified xsi:type="dcterms:W3CDTF">2018-04-03T16:32:21Z</dcterms:modified>
  <cp:category/>
  <cp:version/>
  <cp:contentType/>
  <cp:contentStatus/>
</cp:coreProperties>
</file>