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7668" yWindow="65524" windowWidth="7656" windowHeight="8580" activeTab="3"/>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'Gruppen-Tabellen'!$A$1:$H$33</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<sst xmlns="http://schemas.openxmlformats.org/spreadsheetml/2006/main" count="557" uniqueCount="102">
  <si>
    <t>Pkte</t>
  </si>
  <si>
    <t>Tore</t>
  </si>
  <si>
    <t>Zeit</t>
  </si>
  <si>
    <t>Spiel Nr.</t>
  </si>
  <si>
    <t>Gruppe</t>
  </si>
  <si>
    <t>Ergebnis</t>
  </si>
  <si>
    <t>-</t>
  </si>
  <si>
    <t>:</t>
  </si>
  <si>
    <t>Vorgaben</t>
  </si>
  <si>
    <t>Turnier</t>
  </si>
  <si>
    <t>beginn:</t>
  </si>
  <si>
    <t>Spiel</t>
  </si>
  <si>
    <t>Mannschaft</t>
  </si>
  <si>
    <t>Punkte Mann-schaft Heim</t>
  </si>
  <si>
    <t>Punkte Mann-schaft Gast</t>
  </si>
  <si>
    <t>Spiele</t>
  </si>
  <si>
    <t>Diff.</t>
  </si>
  <si>
    <t>1. Spiel</t>
  </si>
  <si>
    <t>2. Spiel</t>
  </si>
  <si>
    <t>3. Spiel</t>
  </si>
  <si>
    <t>Summe aller Spiele Gruppe A</t>
  </si>
  <si>
    <t>Hauptmenue</t>
  </si>
  <si>
    <t>AK I</t>
  </si>
  <si>
    <t>Platz</t>
  </si>
  <si>
    <t>4. Spiel</t>
  </si>
  <si>
    <t>5. Spiel</t>
  </si>
  <si>
    <t>6. Spiel</t>
  </si>
  <si>
    <t>7. Spiel</t>
  </si>
  <si>
    <t>8. Spiel</t>
  </si>
  <si>
    <t>Spielpaarungen</t>
  </si>
  <si>
    <t>Spielzeit:</t>
  </si>
  <si>
    <t>Minuten</t>
  </si>
  <si>
    <t>Gruppe B</t>
  </si>
  <si>
    <t>Gruppe A</t>
  </si>
  <si>
    <t>B</t>
  </si>
  <si>
    <t>A</t>
  </si>
  <si>
    <t>Vierter Gruppe B</t>
  </si>
  <si>
    <t>Vierter Gruppe A</t>
  </si>
  <si>
    <t>Dritter Gruppe B</t>
  </si>
  <si>
    <t>Dritter Gruppe A</t>
  </si>
  <si>
    <t>Zweiter Gruppe B</t>
  </si>
  <si>
    <t>Erster Gruppe B</t>
  </si>
  <si>
    <t>Zweiter Gruppe A</t>
  </si>
  <si>
    <t>Erster Gruppe A</t>
  </si>
  <si>
    <t>Finale</t>
  </si>
  <si>
    <t>Zweiter Gruppe C</t>
  </si>
  <si>
    <t>Vierter Gruppe C</t>
  </si>
  <si>
    <t>Zweiter Gruppe D</t>
  </si>
  <si>
    <t>Vierter Gruppe D</t>
  </si>
  <si>
    <t>Erster Gruppe C</t>
  </si>
  <si>
    <t>Dritter Gruppe C</t>
  </si>
  <si>
    <t>Erster Gruppe D</t>
  </si>
  <si>
    <t>Dritter Gruppe D</t>
  </si>
  <si>
    <t>Zwischenrunde</t>
  </si>
  <si>
    <t>Endrunde</t>
  </si>
  <si>
    <t>Verlierer 1. Halbfinale</t>
  </si>
  <si>
    <t>Verlierer 2. Halbfinale</t>
  </si>
  <si>
    <t>Sieger 1. Halbfinale</t>
  </si>
  <si>
    <t>Sieger 2. Halbfinale</t>
  </si>
  <si>
    <t>1.</t>
  </si>
  <si>
    <t>2.</t>
  </si>
  <si>
    <t>3.</t>
  </si>
  <si>
    <t>4.</t>
  </si>
  <si>
    <t>5.</t>
  </si>
  <si>
    <t>6.</t>
  </si>
  <si>
    <t>7.</t>
  </si>
  <si>
    <t>8.</t>
  </si>
  <si>
    <t>Gruppe C</t>
  </si>
  <si>
    <t>Gruppe D</t>
  </si>
  <si>
    <t>Summe aller Spiele Gruppe B</t>
  </si>
  <si>
    <t>Summe aller Spiele Gruppe C</t>
  </si>
  <si>
    <t>Summe aller Spiele Gruppe D</t>
  </si>
  <si>
    <t>Zwischenrundengruppen C / D</t>
  </si>
  <si>
    <t>Gr.C</t>
  </si>
  <si>
    <t>Gr.D</t>
  </si>
  <si>
    <t>Spiel um Platz 7</t>
  </si>
  <si>
    <t xml:space="preserve">1. Halbfinale                   </t>
  </si>
  <si>
    <t xml:space="preserve">2. Halbfinale                   </t>
  </si>
  <si>
    <t xml:space="preserve">Spiel um Platz 5             </t>
  </si>
  <si>
    <t xml:space="preserve">Spiel um Platz 3           </t>
  </si>
  <si>
    <t>Gruppen-Tabellen</t>
  </si>
  <si>
    <t>Tabelle Zwischenrunde</t>
  </si>
  <si>
    <t>M. Maart</t>
  </si>
  <si>
    <t>T. Scheithauer</t>
  </si>
  <si>
    <t>A. Langkamp</t>
  </si>
  <si>
    <t>T. Pochadt</t>
  </si>
  <si>
    <t>C. Müller</t>
  </si>
  <si>
    <t>D. Rehbock</t>
  </si>
  <si>
    <t>Dr. E. Eschbach</t>
  </si>
  <si>
    <t>T. Büchner</t>
  </si>
  <si>
    <t>R. Breitenstein</t>
  </si>
  <si>
    <t>J. Meyer</t>
  </si>
  <si>
    <t>M. Hintze</t>
  </si>
  <si>
    <t>A. Wenzel</t>
  </si>
  <si>
    <t>A. Staeder</t>
  </si>
  <si>
    <t>R. Adamowski</t>
  </si>
  <si>
    <t>Spielzeit</t>
  </si>
  <si>
    <t>Dauer:</t>
  </si>
  <si>
    <t>(Vorrunde)</t>
  </si>
  <si>
    <t>Pause:</t>
  </si>
  <si>
    <t>(zwischen den Spielen)</t>
  </si>
  <si>
    <t>(nach Vorrunde)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</si>
</sst>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mm]:"/>
    <numFmt numFmtId="206" formatCode="[mm]"/>
    <numFmt numFmtId="207" formatCode="[m]:"/>
  </numFmts>
  <fonts count="97">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sz val="11"/>
      <color indexed="53"/>
      <name val="Arial"/>
      <family val="2"/>
    </font>
    <font>
      <b/>
      <sz val="11"/>
      <color indexed="60"/>
      <name val="Arial"/>
      <family val="2"/>
    </font>
    <font>
      <b/>
      <i/>
      <sz val="18"/>
      <name val="Arial"/>
      <family val="2"/>
    </font>
    <font>
      <b/>
      <sz val="12"/>
      <color indexed="28"/>
      <name val="Arial"/>
      <family val="2"/>
    </font>
    <font>
      <b/>
      <sz val="10"/>
      <color indexed="28"/>
      <name val="Arial"/>
      <family val="2"/>
    </font>
    <font>
      <b/>
      <sz val="26"/>
      <color indexed="9"/>
      <name val="Arial"/>
      <family val="2"/>
    </font>
    <font>
      <b/>
      <sz val="14"/>
      <color indexed="12"/>
      <name val="Arial"/>
      <family val="2"/>
    </font>
    <font>
      <b/>
      <sz val="12"/>
      <color indexed="16"/>
      <name val="Arial"/>
      <family val="2"/>
    </font>
    <font>
      <b/>
      <sz val="12"/>
      <color indexed="12"/>
      <name val="Arial"/>
      <family val="2"/>
    </font>
    <font>
      <b/>
      <sz val="16"/>
      <color indexed="56"/>
      <name val="Arial"/>
      <family val="2"/>
    </font>
    <font>
      <b/>
      <sz val="12"/>
      <color indexed="17"/>
      <name val="Arial"/>
      <family val="2"/>
    </font>
    <font>
      <b/>
      <i/>
      <sz val="11"/>
      <name val="Arial"/>
      <family val="2"/>
    </font>
    <font>
      <b/>
      <sz val="11"/>
      <name val="Arial"/>
      <family val="2"/>
    </font>
    <font>
      <sz val="9"/>
      <name val="Small Fonts"/>
      <family val="2"/>
    </font>
    <font>
      <sz val="6"/>
      <name val="Small Fonts"/>
      <family val="2"/>
    </font>
    <font>
      <sz val="9"/>
      <name val="Arial"/>
      <family val="2"/>
    </font>
    <font>
      <b/>
      <sz val="10"/>
      <color indexed="10"/>
      <name val="Arial"/>
      <family val="2"/>
    </font>
    <font>
      <b/>
      <sz val="10"/>
      <color indexed="12"/>
      <name val="Arial"/>
      <family val="2"/>
    </font>
    <font>
      <b/>
      <sz val="11"/>
      <color indexed="10"/>
      <name val="Arial"/>
      <family val="2"/>
    </font>
    <font>
      <b/>
      <sz val="11"/>
      <color indexed="56"/>
      <name val="Arial"/>
      <family val="2"/>
    </font>
    <font>
      <b/>
      <sz val="12"/>
      <color indexed="56"/>
      <name val="Arial"/>
      <family val="2"/>
    </font>
    <font>
      <sz val="12"/>
      <color indexed="10"/>
      <name val="Arial"/>
      <family val="2"/>
    </font>
    <font>
      <b/>
      <sz val="10"/>
      <color indexed="9"/>
      <name val="Arial"/>
      <family val="2"/>
    </font>
    <font>
      <b/>
      <sz val="1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9"/>
      <name val="Arial"/>
      <family val="2"/>
    </font>
    <font>
      <i/>
      <sz val="6"/>
      <color indexed="8"/>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2"/>
      <color indexed="10"/>
      <name val="Arial"/>
      <family val="2"/>
    </font>
    <font>
      <sz val="10"/>
      <color indexed="56"/>
      <name val="Arial"/>
      <family val="2"/>
    </font>
    <font>
      <b/>
      <sz val="10"/>
      <color indexed="56"/>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83" fillId="27" borderId="2" applyNumberFormat="0" applyAlignment="0" applyProtection="0"/>
    <xf numFmtId="0" fontId="84" fillId="0" borderId="3" applyNumberFormat="0" applyFill="0" applyAlignment="0" applyProtection="0"/>
    <xf numFmtId="0" fontId="85" fillId="0" borderId="0" applyNumberFormat="0" applyFill="0" applyBorder="0" applyAlignment="0" applyProtection="0"/>
    <xf numFmtId="0" fontId="86"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8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8" fillId="31" borderId="0" applyNumberFormat="0" applyBorder="0" applyAlignment="0" applyProtection="0"/>
    <xf numFmtId="0" fontId="0" fillId="0" borderId="0">
      <alignment/>
      <protection/>
    </xf>
    <xf numFmtId="0" fontId="0" fillId="0" borderId="0">
      <alignment/>
      <protection/>
    </xf>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0" applyNumberFormat="0" applyFill="0" applyBorder="0" applyAlignment="0" applyProtection="0"/>
    <xf numFmtId="0" fontId="95" fillId="32" borderId="9" applyNumberFormat="0" applyAlignment="0" applyProtection="0"/>
  </cellStyleXfs>
  <cellXfs count="206">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0" fillId="36"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27" fillId="39" borderId="0" xfId="0" applyFont="1" applyFill="1" applyBorder="1" applyAlignment="1">
      <alignment horizontal="center" vertical="center"/>
    </xf>
    <xf numFmtId="0" fontId="0" fillId="37" borderId="0" xfId="0" applyFill="1" applyBorder="1" applyAlignment="1">
      <alignment/>
    </xf>
    <xf numFmtId="0" fontId="20" fillId="33" borderId="0" xfId="0" applyFont="1" applyFill="1" applyAlignment="1" applyProtection="1">
      <alignment vertic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204" fontId="33" fillId="33" borderId="0" xfId="0" applyNumberFormat="1" applyFont="1" applyFill="1" applyAlignment="1" applyProtection="1">
      <alignment horizontal="left"/>
      <protection/>
    </xf>
    <xf numFmtId="204" fontId="33" fillId="33" borderId="0" xfId="0" applyNumberFormat="1" applyFont="1" applyFill="1" applyAlignment="1" applyProtection="1">
      <alignment horizontal="right"/>
      <protection/>
    </xf>
    <xf numFmtId="207" fontId="33" fillId="33" borderId="0" xfId="0" applyNumberFormat="1" applyFont="1" applyFill="1" applyBorder="1" applyAlignment="1" applyProtection="1">
      <alignment/>
      <protection/>
    </xf>
    <xf numFmtId="204" fontId="33" fillId="33" borderId="0" xfId="0" applyNumberFormat="1" applyFont="1" applyFill="1" applyBorder="1" applyAlignment="1" applyProtection="1">
      <alignment/>
      <protection/>
    </xf>
    <xf numFmtId="173" fontId="20" fillId="40" borderId="0" xfId="0" applyNumberFormat="1" applyFont="1" applyFill="1" applyAlignment="1" applyProtection="1">
      <alignment horizontal="center" vertical="center"/>
      <protection/>
    </xf>
    <xf numFmtId="0" fontId="0" fillId="40" borderId="0" xfId="0" applyFont="1" applyFill="1" applyAlignment="1" applyProtection="1">
      <alignment horizontal="center" vertical="center"/>
      <protection/>
    </xf>
    <xf numFmtId="0" fontId="20" fillId="40" borderId="0" xfId="0" applyFont="1" applyFill="1" applyAlignment="1" applyProtection="1">
      <alignment horizontal="right" vertical="center"/>
      <protection/>
    </xf>
    <xf numFmtId="0" fontId="20" fillId="40" borderId="0" xfId="0" applyFont="1" applyFill="1" applyAlignment="1" applyProtection="1">
      <alignment horizontal="center" vertical="center"/>
      <protection/>
    </xf>
    <xf numFmtId="0" fontId="20" fillId="40" borderId="0" xfId="0" applyFont="1" applyFill="1" applyAlignment="1" applyProtection="1">
      <alignment horizontal="left" vertical="center"/>
      <protection/>
    </xf>
    <xf numFmtId="0" fontId="20" fillId="40" borderId="10" xfId="0" applyFont="1" applyFill="1" applyBorder="1" applyAlignment="1" applyProtection="1">
      <alignment horizontal="right" vertical="center"/>
      <protection locked="0"/>
    </xf>
    <xf numFmtId="0" fontId="20" fillId="40" borderId="10" xfId="0" applyFont="1" applyFill="1" applyBorder="1" applyAlignment="1" applyProtection="1">
      <alignment horizontal="left" vertical="center"/>
      <protection locked="0"/>
    </xf>
    <xf numFmtId="173" fontId="20" fillId="41" borderId="0" xfId="0" applyNumberFormat="1" applyFont="1" applyFill="1" applyAlignment="1" applyProtection="1">
      <alignment horizontal="center" vertical="center"/>
      <protection/>
    </xf>
    <xf numFmtId="0" fontId="0" fillId="41" borderId="0" xfId="0" applyFont="1" applyFill="1" applyAlignment="1" applyProtection="1">
      <alignment horizontal="center" vertical="center"/>
      <protection/>
    </xf>
    <xf numFmtId="0" fontId="20" fillId="41" borderId="0" xfId="0" applyFont="1" applyFill="1" applyAlignment="1" applyProtection="1">
      <alignment horizontal="right" vertical="center"/>
      <protection/>
    </xf>
    <xf numFmtId="0" fontId="20" fillId="41" borderId="0" xfId="0" applyFont="1" applyFill="1" applyAlignment="1" applyProtection="1">
      <alignment horizontal="center" vertical="center"/>
      <protection/>
    </xf>
    <xf numFmtId="0" fontId="20" fillId="41" borderId="0" xfId="0" applyFont="1" applyFill="1" applyAlignment="1" applyProtection="1">
      <alignment horizontal="left" vertical="center"/>
      <protection/>
    </xf>
    <xf numFmtId="0" fontId="20" fillId="41" borderId="10" xfId="0" applyFont="1" applyFill="1" applyBorder="1" applyAlignment="1" applyProtection="1">
      <alignment horizontal="right" vertical="center"/>
      <protection locked="0"/>
    </xf>
    <xf numFmtId="0" fontId="20" fillId="41" borderId="10" xfId="0" applyFont="1" applyFill="1" applyBorder="1" applyAlignment="1" applyProtection="1">
      <alignment horizontal="left" vertical="center"/>
      <protection locked="0"/>
    </xf>
    <xf numFmtId="0" fontId="0" fillId="33" borderId="0"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4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36" fillId="33" borderId="0" xfId="0" applyFont="1" applyFill="1" applyBorder="1" applyAlignment="1" applyProtection="1">
      <alignment horizontal="center" vertical="top"/>
      <protection/>
    </xf>
    <xf numFmtId="0" fontId="0" fillId="33" borderId="0" xfId="0" applyFont="1" applyFill="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45" fillId="33" borderId="0" xfId="0" applyFont="1" applyFill="1" applyAlignment="1" applyProtection="1">
      <alignment horizontal="centerContinuous" vertical="center" wrapText="1"/>
      <protection/>
    </xf>
    <xf numFmtId="0" fontId="5"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center" vertical="center"/>
      <protection/>
    </xf>
    <xf numFmtId="0" fontId="1" fillId="33" borderId="0" xfId="0" applyFont="1" applyFill="1" applyAlignment="1" applyProtection="1">
      <alignment horizontal="centerContinuous" wrapText="1"/>
      <protection/>
    </xf>
    <xf numFmtId="0" fontId="0" fillId="33" borderId="0" xfId="0" applyFont="1" applyFill="1" applyAlignment="1" applyProtection="1">
      <alignment horizontal="centerContinuous"/>
      <protection/>
    </xf>
    <xf numFmtId="0" fontId="34" fillId="34" borderId="11" xfId="0" applyFont="1" applyFill="1" applyBorder="1" applyAlignment="1" applyProtection="1">
      <alignment horizontal="right" vertical="center"/>
      <protection hidden="1"/>
    </xf>
    <xf numFmtId="0" fontId="34" fillId="34" borderId="12" xfId="0" applyFont="1" applyFill="1" applyBorder="1" applyAlignment="1" applyProtection="1">
      <alignment horizontal="left" vertical="center"/>
      <protection hidden="1"/>
    </xf>
    <xf numFmtId="0" fontId="35" fillId="33" borderId="0" xfId="0" applyFont="1" applyFill="1" applyAlignment="1" applyProtection="1">
      <alignment horizontal="center" vertical="top"/>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lignment horizontal="left" vertical="top"/>
    </xf>
    <xf numFmtId="0" fontId="36" fillId="33" borderId="0" xfId="0" applyFont="1" applyFill="1" applyAlignment="1" applyProtection="1">
      <alignment horizontal="center" vertical="top"/>
      <protection/>
    </xf>
    <xf numFmtId="0" fontId="36" fillId="33" borderId="0" xfId="0" applyFont="1" applyFill="1" applyAlignment="1" applyProtection="1">
      <alignment horizontal="left" vertical="top"/>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35" fillId="33" borderId="0" xfId="0" applyFont="1" applyFill="1" applyBorder="1" applyAlignment="1" applyProtection="1">
      <alignment horizontal="center" vertical="top"/>
      <protection/>
    </xf>
    <xf numFmtId="0" fontId="21" fillId="33" borderId="13" xfId="0" applyFont="1" applyFill="1" applyBorder="1" applyAlignment="1" applyProtection="1">
      <alignment horizontal="center"/>
      <protection/>
    </xf>
    <xf numFmtId="0" fontId="20"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top"/>
      <protection/>
    </xf>
    <xf numFmtId="0" fontId="4" fillId="33" borderId="0" xfId="0" applyFont="1" applyFill="1" applyBorder="1" applyAlignment="1" applyProtection="1">
      <alignment vertical="center"/>
      <protection/>
    </xf>
    <xf numFmtId="173" fontId="20" fillId="42" borderId="0" xfId="0" applyNumberFormat="1" applyFont="1" applyFill="1" applyAlignment="1" applyProtection="1">
      <alignment horizontal="center" vertical="center"/>
      <protection/>
    </xf>
    <xf numFmtId="0" fontId="0" fillId="42" borderId="0" xfId="0" applyFont="1" applyFill="1" applyAlignment="1" applyProtection="1">
      <alignment horizontal="center" vertical="center"/>
      <protection/>
    </xf>
    <xf numFmtId="0" fontId="20" fillId="42" borderId="0" xfId="0" applyFont="1" applyFill="1" applyAlignment="1" applyProtection="1">
      <alignment horizontal="right" vertical="center"/>
      <protection/>
    </xf>
    <xf numFmtId="0" fontId="20" fillId="42" borderId="0" xfId="0" applyFont="1" applyFill="1" applyAlignment="1" applyProtection="1">
      <alignment horizontal="center" vertical="center"/>
      <protection/>
    </xf>
    <xf numFmtId="0" fontId="20" fillId="42" borderId="0" xfId="0" applyFont="1" applyFill="1" applyAlignment="1" applyProtection="1">
      <alignment horizontal="left" vertical="center"/>
      <protection/>
    </xf>
    <xf numFmtId="0" fontId="20" fillId="42" borderId="10" xfId="0" applyFont="1" applyFill="1" applyBorder="1" applyAlignment="1" applyProtection="1">
      <alignment horizontal="right" vertical="center"/>
      <protection locked="0"/>
    </xf>
    <xf numFmtId="0" fontId="20" fillId="42" borderId="10" xfId="0" applyFont="1" applyFill="1" applyBorder="1" applyAlignment="1" applyProtection="1">
      <alignment horizontal="left" vertical="center"/>
      <protection locked="0"/>
    </xf>
    <xf numFmtId="173" fontId="33" fillId="40" borderId="0" xfId="0" applyNumberFormat="1" applyFont="1" applyFill="1" applyBorder="1" applyAlignment="1" applyProtection="1">
      <alignment vertical="center"/>
      <protection locked="0"/>
    </xf>
    <xf numFmtId="0" fontId="20" fillId="41" borderId="14" xfId="0" applyFont="1" applyFill="1" applyBorder="1" applyAlignment="1" applyProtection="1">
      <alignment horizontal="right" vertical="center"/>
      <protection locked="0"/>
    </xf>
    <xf numFmtId="0" fontId="20" fillId="41" borderId="14" xfId="0" applyFont="1" applyFill="1" applyBorder="1" applyAlignment="1" applyProtection="1">
      <alignment horizontal="left" vertical="center"/>
      <protection locked="0"/>
    </xf>
    <xf numFmtId="173" fontId="34" fillId="33" borderId="13" xfId="0" applyNumberFormat="1" applyFont="1" applyFill="1" applyBorder="1" applyAlignment="1" applyProtection="1">
      <alignment horizontal="center" vertical="center"/>
      <protection/>
    </xf>
    <xf numFmtId="0" fontId="34" fillId="33" borderId="11" xfId="0" applyFont="1" applyFill="1" applyBorder="1" applyAlignment="1" applyProtection="1">
      <alignment horizontal="center" vertical="center"/>
      <protection/>
    </xf>
    <xf numFmtId="0" fontId="34" fillId="33" borderId="10" xfId="0" applyFont="1" applyFill="1" applyBorder="1" applyAlignment="1" applyProtection="1">
      <alignment horizontal="right" vertical="center"/>
      <protection locked="0"/>
    </xf>
    <xf numFmtId="0" fontId="34" fillId="33" borderId="0" xfId="0" applyFont="1" applyFill="1" applyAlignment="1" applyProtection="1">
      <alignment horizontal="center" vertical="center"/>
      <protection/>
    </xf>
    <xf numFmtId="0" fontId="34" fillId="33" borderId="10" xfId="0" applyFont="1" applyFill="1" applyBorder="1" applyAlignment="1" applyProtection="1">
      <alignment horizontal="left" vertical="center"/>
      <protection locked="0"/>
    </xf>
    <xf numFmtId="0" fontId="1" fillId="33" borderId="0" xfId="0" applyFont="1" applyFill="1" applyAlignment="1" applyProtection="1">
      <alignment/>
      <protection/>
    </xf>
    <xf numFmtId="0" fontId="0" fillId="40" borderId="11" xfId="0" applyFont="1" applyFill="1" applyBorder="1" applyAlignment="1">
      <alignment vertical="top"/>
    </xf>
    <xf numFmtId="0" fontId="34" fillId="40" borderId="11" xfId="0" applyFont="1" applyFill="1" applyBorder="1" applyAlignment="1" applyProtection="1">
      <alignment horizontal="right" vertical="center"/>
      <protection hidden="1"/>
    </xf>
    <xf numFmtId="0" fontId="34" fillId="40" borderId="11" xfId="0" applyFont="1" applyFill="1" applyBorder="1" applyAlignment="1" applyProtection="1">
      <alignment horizontal="center" vertical="center"/>
      <protection/>
    </xf>
    <xf numFmtId="0" fontId="34" fillId="40" borderId="12" xfId="0" applyFont="1" applyFill="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41" borderId="0" xfId="0" applyFont="1" applyFill="1" applyAlignment="1" applyProtection="1">
      <alignment horizontal="center" vertical="center"/>
      <protection/>
    </xf>
    <xf numFmtId="0" fontId="0" fillId="42" borderId="0" xfId="0" applyFont="1" applyFill="1" applyAlignment="1" applyProtection="1">
      <alignment horizontal="center" vertical="center"/>
      <protection/>
    </xf>
    <xf numFmtId="0" fontId="9" fillId="43" borderId="15" xfId="0" applyFont="1" applyFill="1" applyBorder="1" applyAlignment="1">
      <alignment horizontal="center" vertical="center"/>
    </xf>
    <xf numFmtId="0" fontId="9" fillId="43" borderId="0" xfId="0" applyFont="1" applyFill="1" applyBorder="1" applyAlignment="1">
      <alignment horizontal="center" vertical="center"/>
    </xf>
    <xf numFmtId="0" fontId="37" fillId="33" borderId="0" xfId="0" applyFont="1" applyFill="1" applyAlignment="1" applyProtection="1">
      <alignment horizontal="center" vertical="top"/>
      <protection locked="0"/>
    </xf>
    <xf numFmtId="173" fontId="33" fillId="40" borderId="0" xfId="0" applyNumberFormat="1" applyFont="1" applyFill="1" applyBorder="1" applyAlignment="1" applyProtection="1">
      <alignment horizontal="center" vertical="center"/>
      <protection locked="0"/>
    </xf>
    <xf numFmtId="0" fontId="20" fillId="33" borderId="11" xfId="0" applyFont="1" applyFill="1" applyBorder="1" applyAlignment="1" applyProtection="1">
      <alignment horizontal="left" vertical="center"/>
      <protection/>
    </xf>
    <xf numFmtId="0" fontId="20" fillId="33" borderId="12" xfId="0" applyFont="1" applyFill="1" applyBorder="1" applyAlignment="1" applyProtection="1">
      <alignment horizontal="left" vertical="center"/>
      <protection/>
    </xf>
    <xf numFmtId="0" fontId="6" fillId="33" borderId="0" xfId="0" applyFont="1" applyFill="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4" fillId="33" borderId="16"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10" fillId="33" borderId="0" xfId="0" applyFont="1" applyFill="1" applyAlignment="1" applyProtection="1">
      <alignment horizontal="center"/>
      <protection/>
    </xf>
    <xf numFmtId="0" fontId="1" fillId="33" borderId="18" xfId="0" applyFont="1" applyFill="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protection/>
    </xf>
    <xf numFmtId="0" fontId="0" fillId="33" borderId="0" xfId="0" applyFont="1" applyFill="1" applyAlignment="1" applyProtection="1">
      <alignment horizontal="center" vertical="center"/>
      <protection/>
    </xf>
    <xf numFmtId="0" fontId="0" fillId="42" borderId="0" xfId="0" applyFont="1" applyFill="1" applyAlignment="1" applyProtection="1">
      <alignment horizontal="center" vertical="center"/>
      <protection/>
    </xf>
    <xf numFmtId="0" fontId="36" fillId="33" borderId="19" xfId="0" applyFont="1" applyFill="1" applyBorder="1" applyAlignment="1" applyProtection="1">
      <alignment horizontal="center" vertical="top"/>
      <protection/>
    </xf>
    <xf numFmtId="0" fontId="36" fillId="33" borderId="11" xfId="0" applyFont="1" applyFill="1" applyBorder="1" applyAlignment="1" applyProtection="1">
      <alignment horizontal="center" vertical="top"/>
      <protection/>
    </xf>
    <xf numFmtId="0" fontId="36" fillId="33" borderId="20" xfId="0" applyFont="1" applyFill="1" applyBorder="1" applyAlignment="1" applyProtection="1">
      <alignment horizontal="center" vertical="top"/>
      <protection/>
    </xf>
    <xf numFmtId="0" fontId="1" fillId="34" borderId="19"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0" xfId="0" applyFont="1" applyFill="1" applyBorder="1" applyAlignment="1" applyProtection="1">
      <alignment horizontal="center" vertical="center"/>
      <protection hidden="1"/>
    </xf>
    <xf numFmtId="0" fontId="0" fillId="40" borderId="0" xfId="0" applyFont="1" applyFill="1" applyAlignment="1" applyProtection="1">
      <alignment horizontal="center" vertical="center"/>
      <protection/>
    </xf>
    <xf numFmtId="0" fontId="0" fillId="41" borderId="0" xfId="0" applyFont="1" applyFill="1" applyAlignment="1" applyProtection="1">
      <alignment horizontal="center" vertical="center"/>
      <protection/>
    </xf>
    <xf numFmtId="0" fontId="1" fillId="34" borderId="21" xfId="0" applyFont="1" applyFill="1" applyBorder="1" applyAlignment="1" applyProtection="1">
      <alignment horizontal="center" vertical="center"/>
      <protection hidden="1"/>
    </xf>
    <xf numFmtId="0" fontId="1" fillId="34" borderId="22"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0" fillId="41" borderId="0" xfId="0" applyFont="1" applyFill="1" applyAlignment="1" applyProtection="1">
      <alignment horizontal="center" vertical="center"/>
      <protection/>
    </xf>
    <xf numFmtId="0" fontId="0" fillId="0" borderId="24" xfId="0" applyBorder="1" applyAlignment="1">
      <alignment horizontal="left"/>
    </xf>
    <xf numFmtId="0" fontId="0" fillId="0" borderId="25" xfId="0" applyBorder="1" applyAlignment="1">
      <alignment horizontal="left"/>
    </xf>
    <xf numFmtId="0" fontId="1" fillId="33" borderId="0" xfId="0" applyFont="1" applyFill="1" applyAlignment="1" applyProtection="1">
      <alignment horizontal="center" wrapText="1"/>
      <protection/>
    </xf>
    <xf numFmtId="0" fontId="6" fillId="33" borderId="0" xfId="0" applyFont="1" applyFill="1" applyAlignment="1" applyProtection="1">
      <alignment horizontal="center" wrapText="1"/>
      <protection/>
    </xf>
    <xf numFmtId="0" fontId="0" fillId="0" borderId="11" xfId="0" applyBorder="1" applyAlignment="1">
      <alignment horizontal="left"/>
    </xf>
    <xf numFmtId="0" fontId="0" fillId="0" borderId="20" xfId="0" applyBorder="1" applyAlignment="1">
      <alignment horizontal="left"/>
    </xf>
    <xf numFmtId="0" fontId="96" fillId="40" borderId="0" xfId="0" applyFont="1" applyFill="1" applyBorder="1" applyAlignment="1">
      <alignment horizontal="left"/>
    </xf>
    <xf numFmtId="0" fontId="4" fillId="33" borderId="26" xfId="0" applyFont="1" applyFill="1" applyBorder="1" applyAlignment="1" applyProtection="1">
      <alignment horizontal="center"/>
      <protection/>
    </xf>
    <xf numFmtId="0" fontId="4" fillId="33" borderId="27" xfId="0" applyFont="1" applyFill="1" applyBorder="1" applyAlignment="1" applyProtection="1">
      <alignment horizontal="center"/>
      <protection/>
    </xf>
    <xf numFmtId="0" fontId="24" fillId="0" borderId="28" xfId="0" applyFont="1" applyFill="1" applyBorder="1" applyAlignment="1" applyProtection="1">
      <alignment horizontal="center"/>
      <protection/>
    </xf>
    <xf numFmtId="0" fontId="17" fillId="0" borderId="28" xfId="0"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24"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4"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19" xfId="0" applyFont="1" applyBorder="1" applyAlignment="1">
      <alignment horizontal="left"/>
    </xf>
    <xf numFmtId="0" fontId="0" fillId="0" borderId="0" xfId="54">
      <alignment/>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Futsal U19 Turnierplan"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135</xdr:col>
      <xdr:colOff>0</xdr:colOff>
      <xdr:row>72</xdr:row>
      <xdr:rowOff>0</xdr:rowOff>
    </xdr:to>
    <xdr:sp>
      <xdr:nvSpPr>
        <xdr:cNvPr id="1" name="TextBox 4"/>
        <xdr:cNvSpPr txBox="1">
          <a:spLocks noChangeArrowheads="1"/>
        </xdr:cNvSpPr>
      </xdr:nvSpPr>
      <xdr:spPr>
        <a:xfrm>
          <a:off x="1085850" y="228600"/>
          <a:ext cx="6629400" cy="38862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133</xdr:col>
      <xdr:colOff>38100</xdr:colOff>
      <xdr:row>83</xdr:row>
      <xdr:rowOff>28575</xdr:rowOff>
    </xdr:to>
    <xdr:pic>
      <xdr:nvPicPr>
        <xdr:cNvPr id="2" name="Picture 5"/>
        <xdr:cNvPicPr preferRelativeResize="1">
          <a:picLocks noChangeAspect="1"/>
        </xdr:cNvPicPr>
      </xdr:nvPicPr>
      <xdr:blipFill>
        <a:blip r:embed="rId1"/>
        <a:stretch>
          <a:fillRect/>
        </a:stretch>
      </xdr:blipFill>
      <xdr:spPr>
        <a:xfrm>
          <a:off x="6858000" y="3600450"/>
          <a:ext cx="7810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104775</xdr:rowOff>
    </xdr:from>
    <xdr:to>
      <xdr:col>0</xdr:col>
      <xdr:colOff>1009650</xdr:colOff>
      <xdr:row>0</xdr:row>
      <xdr:rowOff>228600</xdr:rowOff>
    </xdr:to>
    <xdr:sp macro="[0]!Info_nur_V">
      <xdr:nvSpPr>
        <xdr:cNvPr id="1" name="Rectangle 20"/>
        <xdr:cNvSpPr>
          <a:spLocks/>
        </xdr:cNvSpPr>
      </xdr:nvSpPr>
      <xdr:spPr>
        <a:xfrm>
          <a:off x="419100" y="104775"/>
          <a:ext cx="590550" cy="123825"/>
        </a:xfrm>
        <a:prstGeom prst="rect">
          <a:avLst/>
        </a:prstGeom>
        <a:solidFill>
          <a:srgbClr val="A0E0E0"/>
        </a:solidFill>
        <a:ln w="9525" cmpd="sng">
          <a:noFill/>
        </a:ln>
      </xdr:spPr>
      <xdr:txBody>
        <a:bodyPr vertOverflow="clip" wrap="square" lIns="27432" tIns="22860" rIns="0" bIns="0"/>
        <a:p>
          <a:pPr algn="l">
            <a:defRPr/>
          </a:pPr>
          <a:r>
            <a:rPr lang="en-US" cap="none" sz="600" b="0" i="1" u="none" baseline="0">
              <a:solidFill>
                <a:srgbClr val="000000"/>
              </a:solidFill>
              <a:latin typeface="Arial"/>
              <a:ea typeface="Arial"/>
              <a:cs typeface="Arial"/>
            </a:rPr>
            <a:t>Versionshinweis</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205"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0" t="s">
        <v>21</v>
      </c>
    </row>
    <row r="2" ht="112.5" customHeight="1">
      <c r="A2" s="25"/>
    </row>
    <row r="3" ht="112.5" customHeight="1">
      <c r="A3" s="71"/>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C3" sqref="C3"/>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33</v>
      </c>
      <c r="B1" s="7" t="s">
        <v>32</v>
      </c>
      <c r="C1" s="148" t="s">
        <v>8</v>
      </c>
      <c r="D1" s="149"/>
      <c r="E1" s="149"/>
    </row>
    <row r="2" spans="1:4" ht="18" customHeight="1">
      <c r="A2" s="44" t="s">
        <v>82</v>
      </c>
      <c r="B2" s="45" t="s">
        <v>89</v>
      </c>
      <c r="C2" s="3" t="s">
        <v>96</v>
      </c>
      <c r="D2" s="4"/>
    </row>
    <row r="3" spans="1:4" ht="18" customHeight="1">
      <c r="A3" s="44" t="s">
        <v>83</v>
      </c>
      <c r="B3" s="45" t="s">
        <v>90</v>
      </c>
      <c r="C3" s="3" t="s">
        <v>97</v>
      </c>
      <c r="D3" s="46">
        <v>0</v>
      </c>
    </row>
    <row r="4" spans="1:3" ht="18" customHeight="1">
      <c r="A4" s="44" t="s">
        <v>84</v>
      </c>
      <c r="B4" s="45" t="s">
        <v>91</v>
      </c>
      <c r="C4" s="3" t="s">
        <v>98</v>
      </c>
    </row>
    <row r="5" spans="1:4" ht="18" customHeight="1">
      <c r="A5" s="44" t="s">
        <v>85</v>
      </c>
      <c r="B5" s="45" t="s">
        <v>92</v>
      </c>
      <c r="C5" s="3" t="s">
        <v>99</v>
      </c>
      <c r="D5" s="47">
        <v>0</v>
      </c>
    </row>
    <row r="6" spans="1:4" ht="18" customHeight="1">
      <c r="A6" s="44" t="s">
        <v>86</v>
      </c>
      <c r="B6" s="45" t="s">
        <v>93</v>
      </c>
      <c r="C6" s="6" t="s">
        <v>100</v>
      </c>
      <c r="D6" s="5"/>
    </row>
    <row r="7" spans="1:4" ht="18" customHeight="1">
      <c r="A7" s="44" t="s">
        <v>87</v>
      </c>
      <c r="B7" s="45" t="s">
        <v>94</v>
      </c>
      <c r="C7" s="3" t="s">
        <v>99</v>
      </c>
      <c r="D7" s="48">
        <v>0</v>
      </c>
    </row>
    <row r="8" spans="1:3" ht="18" customHeight="1">
      <c r="A8" s="44" t="s">
        <v>88</v>
      </c>
      <c r="B8" s="45" t="s">
        <v>95</v>
      </c>
      <c r="C8" s="6" t="s">
        <v>101</v>
      </c>
    </row>
    <row r="9" spans="1:2" ht="18" customHeight="1">
      <c r="A9" s="58"/>
      <c r="B9" s="58"/>
    </row>
    <row r="10" spans="1:2" ht="18" customHeight="1">
      <c r="A10" s="58"/>
      <c r="B10" s="58"/>
    </row>
    <row r="11" spans="1:2" ht="18" customHeight="1">
      <c r="A11" s="58"/>
      <c r="B11" s="58"/>
    </row>
    <row r="12" spans="1:3" ht="18" customHeight="1">
      <c r="A12" s="58"/>
      <c r="B12" s="58"/>
      <c r="C12" s="3" t="s">
        <v>9</v>
      </c>
    </row>
    <row r="13" spans="1:4" ht="18" customHeight="1">
      <c r="A13" s="58"/>
      <c r="B13" s="58"/>
      <c r="C13" s="3" t="s">
        <v>10</v>
      </c>
      <c r="D13" s="49">
        <v>0.6875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22"/>
  <sheetViews>
    <sheetView showRowColHeaders="0" tabSelected="1" zoomScalePageLayoutView="0" workbookViewId="0" topLeftCell="A1">
      <selection activeCell="H12" sqref="H12:J12"/>
    </sheetView>
  </sheetViews>
  <sheetFormatPr defaultColWidth="11.421875" defaultRowHeight="12.75"/>
  <cols>
    <col min="1" max="1" width="14.421875" style="54" customWidth="1"/>
    <col min="2" max="2" width="5.8515625" style="53" customWidth="1"/>
    <col min="3" max="3" width="3.57421875" style="52" customWidth="1"/>
    <col min="4" max="4" width="4.00390625" style="52" customWidth="1"/>
    <col min="5" max="5" width="29.00390625" style="52" customWidth="1"/>
    <col min="6" max="6" width="1.57421875" style="50" customWidth="1"/>
    <col min="7" max="7" width="29.140625" style="52" customWidth="1"/>
    <col min="8" max="8" width="4.57421875" style="50" customWidth="1"/>
    <col min="9" max="9" width="1.7109375" style="52" customWidth="1"/>
    <col min="10" max="10" width="4.57421875" style="50" customWidth="1"/>
    <col min="11" max="16384" width="11.421875" style="50" customWidth="1"/>
  </cols>
  <sheetData>
    <row r="1" spans="1:10" s="51" customFormat="1" ht="16.5" customHeight="1">
      <c r="A1" s="174" t="s">
        <v>33</v>
      </c>
      <c r="B1" s="175"/>
      <c r="C1" s="175"/>
      <c r="D1" s="176"/>
      <c r="E1" s="50"/>
      <c r="G1" s="185" t="s">
        <v>32</v>
      </c>
      <c r="H1" s="186"/>
      <c r="I1" s="52"/>
      <c r="J1" s="50"/>
    </row>
    <row r="2" spans="1:8" ht="12.75">
      <c r="A2" s="204" t="str">
        <f>Vorgaben!A2</f>
        <v>M. Maart</v>
      </c>
      <c r="B2" s="182"/>
      <c r="C2" s="182"/>
      <c r="D2" s="183"/>
      <c r="E2" s="50"/>
      <c r="G2" s="178" t="str">
        <f>Vorgaben!B2</f>
        <v>T. Büchner</v>
      </c>
      <c r="H2" s="179"/>
    </row>
    <row r="3" spans="1:8" ht="12.75">
      <c r="A3" s="204" t="str">
        <f>Vorgaben!A3</f>
        <v>T. Scheithauer</v>
      </c>
      <c r="B3" s="182"/>
      <c r="C3" s="182"/>
      <c r="D3" s="183"/>
      <c r="E3" s="50"/>
      <c r="G3" s="178" t="str">
        <f>Vorgaben!B3</f>
        <v>R. Breitenstein</v>
      </c>
      <c r="H3" s="179"/>
    </row>
    <row r="4" spans="1:8" ht="12.75">
      <c r="A4" s="204" t="str">
        <f>Vorgaben!A4</f>
        <v>A. Langkamp</v>
      </c>
      <c r="B4" s="182"/>
      <c r="C4" s="182"/>
      <c r="D4" s="183"/>
      <c r="E4" s="50"/>
      <c r="G4" s="178" t="str">
        <f>Vorgaben!B4</f>
        <v>J. Meyer</v>
      </c>
      <c r="H4" s="179"/>
    </row>
    <row r="5" spans="1:8" ht="12.75">
      <c r="A5" s="204" t="str">
        <f>Vorgaben!A5</f>
        <v>T. Pochadt</v>
      </c>
      <c r="B5" s="182"/>
      <c r="C5" s="182"/>
      <c r="D5" s="183"/>
      <c r="E5" s="50"/>
      <c r="G5" s="178" t="str">
        <f>Vorgaben!B5</f>
        <v>M. Hintze</v>
      </c>
      <c r="H5" s="179"/>
    </row>
    <row r="6" spans="1:8" ht="12.75">
      <c r="A6" s="204" t="str">
        <f>Vorgaben!A6</f>
        <v>C. Müller</v>
      </c>
      <c r="B6" s="182"/>
      <c r="C6" s="182"/>
      <c r="D6" s="183"/>
      <c r="E6" s="50"/>
      <c r="G6" s="178" t="str">
        <f>Vorgaben!B6</f>
        <v>A. Wenzel</v>
      </c>
      <c r="H6" s="179"/>
    </row>
    <row r="7" spans="1:8" ht="12.75">
      <c r="A7" s="204" t="str">
        <f>Vorgaben!A7</f>
        <v>D. Rehbock</v>
      </c>
      <c r="B7" s="182"/>
      <c r="C7" s="182"/>
      <c r="D7" s="183"/>
      <c r="E7" s="50"/>
      <c r="G7" s="178" t="str">
        <f>Vorgaben!B7</f>
        <v>A. Staeder</v>
      </c>
      <c r="H7" s="179"/>
    </row>
    <row r="8" spans="1:8" ht="12.75">
      <c r="A8" s="204" t="str">
        <f>Vorgaben!A8</f>
        <v>Dr. E. Eschbach</v>
      </c>
      <c r="B8" s="182"/>
      <c r="C8" s="182"/>
      <c r="D8" s="183"/>
      <c r="E8" s="50"/>
      <c r="G8" s="178" t="str">
        <f>Vorgaben!B8</f>
        <v>R. Adamowski</v>
      </c>
      <c r="H8" s="179"/>
    </row>
    <row r="9" spans="1:7" ht="12.75">
      <c r="A9" s="184">
        <f>Vorgaben!A9</f>
        <v>0</v>
      </c>
      <c r="B9" s="184"/>
      <c r="C9" s="184"/>
      <c r="D9" s="184"/>
      <c r="E9" s="50"/>
      <c r="G9" s="50"/>
    </row>
    <row r="10" spans="1:7" ht="12.75">
      <c r="A10" s="184">
        <f>Vorgaben!A10</f>
        <v>0</v>
      </c>
      <c r="B10" s="184"/>
      <c r="C10" s="184"/>
      <c r="D10" s="184"/>
      <c r="G10" s="50"/>
    </row>
    <row r="11" spans="1:9" s="73" customFormat="1" ht="30" customHeight="1">
      <c r="A11" s="76" t="s">
        <v>30</v>
      </c>
      <c r="B11" s="77">
        <f>Vorgaben!D3</f>
        <v>0</v>
      </c>
      <c r="C11" s="78" t="s">
        <v>31</v>
      </c>
      <c r="D11" s="78"/>
      <c r="E11" s="75"/>
      <c r="I11" s="74"/>
    </row>
    <row r="12" spans="1:10" s="57" customFormat="1" ht="40.5" customHeight="1">
      <c r="A12" s="57" t="s">
        <v>2</v>
      </c>
      <c r="B12" s="68" t="s">
        <v>3</v>
      </c>
      <c r="C12" s="181" t="s">
        <v>4</v>
      </c>
      <c r="D12" s="181"/>
      <c r="E12" s="69" t="s">
        <v>29</v>
      </c>
      <c r="F12" s="69"/>
      <c r="G12" s="69"/>
      <c r="H12" s="180" t="s">
        <v>5</v>
      </c>
      <c r="I12" s="180"/>
      <c r="J12" s="180"/>
    </row>
    <row r="13" spans="1:10" s="72" customFormat="1" ht="19.5" customHeight="1">
      <c r="A13" s="86">
        <f>Vorgaben!D13</f>
        <v>0.6875</v>
      </c>
      <c r="B13" s="87">
        <v>1</v>
      </c>
      <c r="C13" s="171" t="s">
        <v>35</v>
      </c>
      <c r="D13" s="171"/>
      <c r="E13" s="88" t="str">
        <f>A2</f>
        <v>M. Maart</v>
      </c>
      <c r="F13" s="89" t="s">
        <v>6</v>
      </c>
      <c r="G13" s="90" t="str">
        <f>A3</f>
        <v>T. Scheithauer</v>
      </c>
      <c r="H13" s="91"/>
      <c r="I13" s="89" t="s">
        <v>7</v>
      </c>
      <c r="J13" s="92"/>
    </row>
    <row r="14" spans="1:10" s="72" customFormat="1" ht="19.5" customHeight="1">
      <c r="A14" s="86">
        <f>A13+Vorgaben!$D$3+Vorgaben!$D$5</f>
        <v>0.6875</v>
      </c>
      <c r="B14" s="87">
        <v>2</v>
      </c>
      <c r="C14" s="171" t="s">
        <v>35</v>
      </c>
      <c r="D14" s="171"/>
      <c r="E14" s="88" t="str">
        <f>A4</f>
        <v>A. Langkamp</v>
      </c>
      <c r="F14" s="89" t="s">
        <v>6</v>
      </c>
      <c r="G14" s="90" t="str">
        <f>A5</f>
        <v>T. Pochadt</v>
      </c>
      <c r="H14" s="91"/>
      <c r="I14" s="89" t="s">
        <v>7</v>
      </c>
      <c r="J14" s="92"/>
    </row>
    <row r="15" spans="1:10" s="72" customFormat="1" ht="19.5" customHeight="1">
      <c r="A15" s="79">
        <f>A14+Vorgaben!$D$3+Vorgaben!$D$5</f>
        <v>0.6875</v>
      </c>
      <c r="B15" s="80">
        <v>3</v>
      </c>
      <c r="C15" s="170" t="s">
        <v>34</v>
      </c>
      <c r="D15" s="170"/>
      <c r="E15" s="81" t="str">
        <f>G3</f>
        <v>R. Breitenstein</v>
      </c>
      <c r="F15" s="82" t="s">
        <v>6</v>
      </c>
      <c r="G15" s="83" t="str">
        <f>G2</f>
        <v>T. Büchner</v>
      </c>
      <c r="H15" s="84"/>
      <c r="I15" s="82" t="s">
        <v>7</v>
      </c>
      <c r="J15" s="85"/>
    </row>
    <row r="16" spans="1:10" s="72" customFormat="1" ht="19.5" customHeight="1">
      <c r="A16" s="79">
        <f>A15+Vorgaben!$D$3+Vorgaben!$D$5</f>
        <v>0.6875</v>
      </c>
      <c r="B16" s="80">
        <v>4</v>
      </c>
      <c r="C16" s="170" t="s">
        <v>34</v>
      </c>
      <c r="D16" s="170"/>
      <c r="E16" s="81" t="str">
        <f>G5</f>
        <v>M. Hintze</v>
      </c>
      <c r="F16" s="82" t="s">
        <v>6</v>
      </c>
      <c r="G16" s="83" t="str">
        <f>G4</f>
        <v>J. Meyer</v>
      </c>
      <c r="H16" s="84"/>
      <c r="I16" s="82" t="s">
        <v>7</v>
      </c>
      <c r="J16" s="85"/>
    </row>
    <row r="17" spans="1:10" s="72" customFormat="1" ht="19.5" customHeight="1">
      <c r="A17" s="86">
        <f>A16+Vorgaben!$D$3+Vorgaben!$D$5</f>
        <v>0.6875</v>
      </c>
      <c r="B17" s="87">
        <v>5</v>
      </c>
      <c r="C17" s="171" t="s">
        <v>35</v>
      </c>
      <c r="D17" s="171"/>
      <c r="E17" s="88" t="str">
        <f>A7</f>
        <v>D. Rehbock</v>
      </c>
      <c r="F17" s="89" t="s">
        <v>6</v>
      </c>
      <c r="G17" s="90" t="str">
        <f>A6</f>
        <v>C. Müller</v>
      </c>
      <c r="H17" s="91"/>
      <c r="I17" s="89" t="s">
        <v>7</v>
      </c>
      <c r="J17" s="92"/>
    </row>
    <row r="18" spans="1:10" s="72" customFormat="1" ht="19.5" customHeight="1">
      <c r="A18" s="86">
        <f>A17+Vorgaben!$D$3+Vorgaben!$D$5</f>
        <v>0.6875</v>
      </c>
      <c r="B18" s="146">
        <v>6</v>
      </c>
      <c r="C18" s="171" t="s">
        <v>35</v>
      </c>
      <c r="D18" s="171"/>
      <c r="E18" s="88" t="str">
        <f>A8</f>
        <v>Dr. E. Eschbach</v>
      </c>
      <c r="F18" s="89" t="s">
        <v>6</v>
      </c>
      <c r="G18" s="90" t="str">
        <f>A2</f>
        <v>M. Maart</v>
      </c>
      <c r="H18" s="91"/>
      <c r="I18" s="89" t="s">
        <v>7</v>
      </c>
      <c r="J18" s="92"/>
    </row>
    <row r="19" spans="1:10" s="72" customFormat="1" ht="19.5" customHeight="1">
      <c r="A19" s="79">
        <f>A18+Vorgaben!$D$3+Vorgaben!$D$5</f>
        <v>0.6875</v>
      </c>
      <c r="B19" s="80">
        <v>7</v>
      </c>
      <c r="C19" s="170" t="s">
        <v>34</v>
      </c>
      <c r="D19" s="170"/>
      <c r="E19" s="81" t="str">
        <f>G7</f>
        <v>A. Staeder</v>
      </c>
      <c r="F19" s="82" t="s">
        <v>6</v>
      </c>
      <c r="G19" s="83" t="str">
        <f>G6</f>
        <v>A. Wenzel</v>
      </c>
      <c r="H19" s="84"/>
      <c r="I19" s="82" t="s">
        <v>7</v>
      </c>
      <c r="J19" s="85"/>
    </row>
    <row r="20" spans="1:10" s="72" customFormat="1" ht="19.5" customHeight="1">
      <c r="A20" s="79">
        <f>A19+Vorgaben!$D$3+Vorgaben!$D$5</f>
        <v>0.6875</v>
      </c>
      <c r="B20" s="80">
        <v>8</v>
      </c>
      <c r="C20" s="170" t="s">
        <v>34</v>
      </c>
      <c r="D20" s="170"/>
      <c r="E20" s="81" t="str">
        <f>G2</f>
        <v>T. Büchner</v>
      </c>
      <c r="F20" s="82" t="s">
        <v>6</v>
      </c>
      <c r="G20" s="83" t="str">
        <f>G8</f>
        <v>R. Adamowski</v>
      </c>
      <c r="H20" s="84">
        <v>0</v>
      </c>
      <c r="I20" s="82" t="s">
        <v>7</v>
      </c>
      <c r="J20" s="85">
        <v>1</v>
      </c>
    </row>
    <row r="21" spans="1:10" s="72" customFormat="1" ht="19.5" customHeight="1">
      <c r="A21" s="86">
        <f>A20+Vorgaben!$D$3+Vorgaben!$D$5</f>
        <v>0.6875</v>
      </c>
      <c r="B21" s="87">
        <v>9</v>
      </c>
      <c r="C21" s="171" t="s">
        <v>35</v>
      </c>
      <c r="D21" s="171"/>
      <c r="E21" s="88" t="str">
        <f>A5</f>
        <v>T. Pochadt</v>
      </c>
      <c r="F21" s="89" t="s">
        <v>6</v>
      </c>
      <c r="G21" s="90" t="str">
        <f>A3</f>
        <v>T. Scheithauer</v>
      </c>
      <c r="H21" s="91"/>
      <c r="I21" s="89" t="s">
        <v>7</v>
      </c>
      <c r="J21" s="92"/>
    </row>
    <row r="22" spans="1:10" s="72" customFormat="1" ht="19.5" customHeight="1">
      <c r="A22" s="86">
        <f>A21+Vorgaben!$D$3+Vorgaben!$D$5</f>
        <v>0.6875</v>
      </c>
      <c r="B22" s="87">
        <v>10</v>
      </c>
      <c r="C22" s="171" t="s">
        <v>35</v>
      </c>
      <c r="D22" s="171"/>
      <c r="E22" s="88" t="str">
        <f>A4</f>
        <v>A. Langkamp</v>
      </c>
      <c r="F22" s="89" t="s">
        <v>6</v>
      </c>
      <c r="G22" s="90" t="str">
        <f>A6</f>
        <v>C. Müller</v>
      </c>
      <c r="H22" s="91"/>
      <c r="I22" s="89" t="s">
        <v>7</v>
      </c>
      <c r="J22" s="92"/>
    </row>
    <row r="23" spans="1:10" s="72" customFormat="1" ht="19.5" customHeight="1">
      <c r="A23" s="79">
        <f>A22+Vorgaben!$D$3+Vorgaben!$D$5</f>
        <v>0.6875</v>
      </c>
      <c r="B23" s="80">
        <v>11</v>
      </c>
      <c r="C23" s="170" t="s">
        <v>34</v>
      </c>
      <c r="D23" s="170"/>
      <c r="E23" s="81" t="str">
        <f>G3</f>
        <v>R. Breitenstein</v>
      </c>
      <c r="F23" s="82" t="s">
        <v>6</v>
      </c>
      <c r="G23" s="83" t="str">
        <f>G5</f>
        <v>M. Hintze</v>
      </c>
      <c r="H23" s="84"/>
      <c r="I23" s="82" t="s">
        <v>7</v>
      </c>
      <c r="J23" s="85"/>
    </row>
    <row r="24" spans="1:10" s="72" customFormat="1" ht="19.5" customHeight="1">
      <c r="A24" s="79">
        <f>A23+Vorgaben!$D$3+Vorgaben!$D$5</f>
        <v>0.6875</v>
      </c>
      <c r="B24" s="80">
        <v>12</v>
      </c>
      <c r="C24" s="170" t="s">
        <v>34</v>
      </c>
      <c r="D24" s="170"/>
      <c r="E24" s="81" t="str">
        <f>G4</f>
        <v>J. Meyer</v>
      </c>
      <c r="F24" s="82" t="s">
        <v>6</v>
      </c>
      <c r="G24" s="83" t="str">
        <f>G6</f>
        <v>A. Wenzel</v>
      </c>
      <c r="H24" s="84"/>
      <c r="I24" s="82" t="s">
        <v>7</v>
      </c>
      <c r="J24" s="85"/>
    </row>
    <row r="25" spans="1:10" s="72" customFormat="1" ht="19.5" customHeight="1">
      <c r="A25" s="86">
        <f>A24+Vorgaben!$D$3+Vorgaben!$D$5</f>
        <v>0.6875</v>
      </c>
      <c r="B25" s="87">
        <v>13</v>
      </c>
      <c r="C25" s="171" t="s">
        <v>35</v>
      </c>
      <c r="D25" s="171"/>
      <c r="E25" s="88" t="str">
        <f>A7</f>
        <v>D. Rehbock</v>
      </c>
      <c r="F25" s="89" t="s">
        <v>6</v>
      </c>
      <c r="G25" s="90" t="str">
        <f>A2</f>
        <v>M. Maart</v>
      </c>
      <c r="H25" s="91"/>
      <c r="I25" s="89" t="s">
        <v>7</v>
      </c>
      <c r="J25" s="92"/>
    </row>
    <row r="26" spans="1:10" s="72" customFormat="1" ht="19.5" customHeight="1">
      <c r="A26" s="86">
        <f>A25+Vorgaben!$D$3+Vorgaben!$D$5</f>
        <v>0.6875</v>
      </c>
      <c r="B26" s="87">
        <v>14</v>
      </c>
      <c r="C26" s="177" t="s">
        <v>35</v>
      </c>
      <c r="D26" s="171"/>
      <c r="E26" s="88" t="str">
        <f>A5</f>
        <v>T. Pochadt</v>
      </c>
      <c r="F26" s="89" t="s">
        <v>6</v>
      </c>
      <c r="G26" s="90" t="str">
        <f>A8</f>
        <v>Dr. E. Eschbach</v>
      </c>
      <c r="H26" s="133"/>
      <c r="I26" s="89" t="s">
        <v>7</v>
      </c>
      <c r="J26" s="134"/>
    </row>
    <row r="27" spans="1:10" s="72" customFormat="1" ht="19.5" customHeight="1">
      <c r="A27" s="79">
        <f>A26+Vorgaben!$D$3+Vorgaben!$D$5</f>
        <v>0.6875</v>
      </c>
      <c r="B27" s="80">
        <v>15</v>
      </c>
      <c r="C27" s="170" t="s">
        <v>34</v>
      </c>
      <c r="D27" s="170"/>
      <c r="E27" s="81" t="str">
        <f>G2</f>
        <v>T. Büchner</v>
      </c>
      <c r="F27" s="82" t="s">
        <v>6</v>
      </c>
      <c r="G27" s="83" t="str">
        <f>G7</f>
        <v>A. Staeder</v>
      </c>
      <c r="H27" s="84"/>
      <c r="I27" s="82" t="s">
        <v>7</v>
      </c>
      <c r="J27" s="85"/>
    </row>
    <row r="28" spans="1:10" s="72" customFormat="1" ht="19.5" customHeight="1">
      <c r="A28" s="79">
        <f>A27+Vorgaben!$D$3+Vorgaben!$D$5</f>
        <v>0.6875</v>
      </c>
      <c r="B28" s="80">
        <v>16</v>
      </c>
      <c r="C28" s="170" t="s">
        <v>34</v>
      </c>
      <c r="D28" s="170"/>
      <c r="E28" s="81" t="str">
        <f>G5</f>
        <v>M. Hintze</v>
      </c>
      <c r="F28" s="82" t="s">
        <v>6</v>
      </c>
      <c r="G28" s="83" t="str">
        <f>G8</f>
        <v>R. Adamowski</v>
      </c>
      <c r="H28" s="84">
        <v>0</v>
      </c>
      <c r="I28" s="82" t="s">
        <v>7</v>
      </c>
      <c r="J28" s="85">
        <v>1</v>
      </c>
    </row>
    <row r="29" spans="1:10" s="72" customFormat="1" ht="19.5" customHeight="1">
      <c r="A29" s="86">
        <f>A28+Vorgaben!$D$3+Vorgaben!$D$5</f>
        <v>0.6875</v>
      </c>
      <c r="B29" s="87">
        <v>17</v>
      </c>
      <c r="C29" s="171" t="s">
        <v>35</v>
      </c>
      <c r="D29" s="171"/>
      <c r="E29" s="88" t="str">
        <f>A3</f>
        <v>T. Scheithauer</v>
      </c>
      <c r="F29" s="89" t="s">
        <v>6</v>
      </c>
      <c r="G29" s="90" t="str">
        <f>A4</f>
        <v>A. Langkamp</v>
      </c>
      <c r="H29" s="91"/>
      <c r="I29" s="89" t="s">
        <v>7</v>
      </c>
      <c r="J29" s="92"/>
    </row>
    <row r="30" spans="1:10" s="72" customFormat="1" ht="19.5" customHeight="1">
      <c r="A30" s="86">
        <f>A29+Vorgaben!$D$3+Vorgaben!$D$5</f>
        <v>0.6875</v>
      </c>
      <c r="B30" s="87">
        <v>18</v>
      </c>
      <c r="C30" s="171" t="s">
        <v>35</v>
      </c>
      <c r="D30" s="171"/>
      <c r="E30" s="88" t="str">
        <f>A2</f>
        <v>M. Maart</v>
      </c>
      <c r="F30" s="89" t="s">
        <v>6</v>
      </c>
      <c r="G30" s="90" t="str">
        <f>A6</f>
        <v>C. Müller</v>
      </c>
      <c r="H30" s="91"/>
      <c r="I30" s="89" t="s">
        <v>7</v>
      </c>
      <c r="J30" s="92"/>
    </row>
    <row r="31" spans="1:10" s="72" customFormat="1" ht="19.5" customHeight="1">
      <c r="A31" s="79">
        <f>A30+Vorgaben!$D$3+Vorgaben!$D$5</f>
        <v>0.6875</v>
      </c>
      <c r="B31" s="80">
        <v>19</v>
      </c>
      <c r="C31" s="170" t="s">
        <v>34</v>
      </c>
      <c r="D31" s="170"/>
      <c r="E31" s="81" t="str">
        <f>G3</f>
        <v>R. Breitenstein</v>
      </c>
      <c r="F31" s="82" t="s">
        <v>6</v>
      </c>
      <c r="G31" s="83" t="str">
        <f>G4</f>
        <v>J. Meyer</v>
      </c>
      <c r="H31" s="84"/>
      <c r="I31" s="82" t="s">
        <v>7</v>
      </c>
      <c r="J31" s="85"/>
    </row>
    <row r="32" spans="1:10" s="72" customFormat="1" ht="19.5" customHeight="1">
      <c r="A32" s="79">
        <f>A31+Vorgaben!$D$3+Vorgaben!$D$5</f>
        <v>0.6875</v>
      </c>
      <c r="B32" s="80">
        <v>20</v>
      </c>
      <c r="C32" s="170" t="s">
        <v>34</v>
      </c>
      <c r="D32" s="170"/>
      <c r="E32" s="81" t="str">
        <f>G6</f>
        <v>A. Wenzel</v>
      </c>
      <c r="F32" s="82" t="s">
        <v>6</v>
      </c>
      <c r="G32" s="83" t="str">
        <f>G2</f>
        <v>T. Büchner</v>
      </c>
      <c r="H32" s="84"/>
      <c r="I32" s="82" t="s">
        <v>7</v>
      </c>
      <c r="J32" s="85"/>
    </row>
    <row r="33" spans="1:10" s="72" customFormat="1" ht="19.5" customHeight="1">
      <c r="A33" s="86">
        <f>A32+Vorgaben!$D$3+Vorgaben!$D$5</f>
        <v>0.6875</v>
      </c>
      <c r="B33" s="146">
        <v>21</v>
      </c>
      <c r="C33" s="171" t="s">
        <v>35</v>
      </c>
      <c r="D33" s="171"/>
      <c r="E33" s="88" t="str">
        <f>A4</f>
        <v>A. Langkamp</v>
      </c>
      <c r="F33" s="89" t="s">
        <v>6</v>
      </c>
      <c r="G33" s="90" t="str">
        <f>A8</f>
        <v>Dr. E. Eschbach</v>
      </c>
      <c r="H33" s="91"/>
      <c r="I33" s="89" t="s">
        <v>7</v>
      </c>
      <c r="J33" s="92"/>
    </row>
    <row r="34" spans="1:10" s="72" customFormat="1" ht="19.5" customHeight="1">
      <c r="A34" s="86">
        <f>A33+Vorgaben!$D$3+Vorgaben!$D$5</f>
        <v>0.6875</v>
      </c>
      <c r="B34" s="87">
        <v>22</v>
      </c>
      <c r="C34" s="171" t="s">
        <v>35</v>
      </c>
      <c r="D34" s="171"/>
      <c r="E34" s="88" t="str">
        <f>A3</f>
        <v>T. Scheithauer</v>
      </c>
      <c r="F34" s="89" t="s">
        <v>6</v>
      </c>
      <c r="G34" s="90" t="str">
        <f>A7</f>
        <v>D. Rehbock</v>
      </c>
      <c r="H34" s="91"/>
      <c r="I34" s="89" t="s">
        <v>7</v>
      </c>
      <c r="J34" s="92"/>
    </row>
    <row r="35" spans="1:10" s="72" customFormat="1" ht="19.5" customHeight="1">
      <c r="A35" s="79">
        <f>A34+Vorgaben!$D$3+Vorgaben!$D$5</f>
        <v>0.6875</v>
      </c>
      <c r="B35" s="80">
        <v>23</v>
      </c>
      <c r="C35" s="170" t="s">
        <v>34</v>
      </c>
      <c r="D35" s="170"/>
      <c r="E35" s="81" t="str">
        <f>G8</f>
        <v>R. Adamowski</v>
      </c>
      <c r="F35" s="82" t="s">
        <v>6</v>
      </c>
      <c r="G35" s="83" t="str">
        <f>G4</f>
        <v>J. Meyer</v>
      </c>
      <c r="H35" s="84">
        <v>1</v>
      </c>
      <c r="I35" s="82" t="s">
        <v>7</v>
      </c>
      <c r="J35" s="85">
        <v>0</v>
      </c>
    </row>
    <row r="36" spans="1:10" s="72" customFormat="1" ht="19.5" customHeight="1">
      <c r="A36" s="79">
        <f>A35+Vorgaben!$D$3+Vorgaben!$D$5</f>
        <v>0.6875</v>
      </c>
      <c r="B36" s="80">
        <v>24</v>
      </c>
      <c r="C36" s="170" t="s">
        <v>34</v>
      </c>
      <c r="D36" s="170"/>
      <c r="E36" s="81" t="str">
        <f>G7</f>
        <v>A. Staeder</v>
      </c>
      <c r="F36" s="82" t="s">
        <v>6</v>
      </c>
      <c r="G36" s="83" t="str">
        <f>G3</f>
        <v>R. Breitenstein</v>
      </c>
      <c r="H36" s="84"/>
      <c r="I36" s="82" t="s">
        <v>7</v>
      </c>
      <c r="J36" s="85"/>
    </row>
    <row r="37" spans="1:10" s="72" customFormat="1" ht="19.5" customHeight="1">
      <c r="A37" s="86">
        <f>A36+Vorgaben!$D$3+Vorgaben!$D$5</f>
        <v>0.6875</v>
      </c>
      <c r="B37" s="87">
        <v>25</v>
      </c>
      <c r="C37" s="171" t="s">
        <v>35</v>
      </c>
      <c r="D37" s="171"/>
      <c r="E37" s="88" t="str">
        <f>A2</f>
        <v>M. Maart</v>
      </c>
      <c r="F37" s="89" t="s">
        <v>6</v>
      </c>
      <c r="G37" s="90" t="str">
        <f>A5</f>
        <v>T. Pochadt</v>
      </c>
      <c r="H37" s="91"/>
      <c r="I37" s="89" t="s">
        <v>7</v>
      </c>
      <c r="J37" s="92"/>
    </row>
    <row r="38" spans="1:10" s="72" customFormat="1" ht="19.5" customHeight="1">
      <c r="A38" s="86">
        <f>A37+Vorgaben!$D$3+Vorgaben!$D$5</f>
        <v>0.6875</v>
      </c>
      <c r="B38" s="146">
        <v>26</v>
      </c>
      <c r="C38" s="171" t="s">
        <v>35</v>
      </c>
      <c r="D38" s="171"/>
      <c r="E38" s="88" t="str">
        <f>A8</f>
        <v>Dr. E. Eschbach</v>
      </c>
      <c r="F38" s="89" t="s">
        <v>6</v>
      </c>
      <c r="G38" s="90" t="str">
        <f>A7</f>
        <v>D. Rehbock</v>
      </c>
      <c r="H38" s="91"/>
      <c r="I38" s="89" t="s">
        <v>7</v>
      </c>
      <c r="J38" s="92"/>
    </row>
    <row r="39" spans="1:10" s="72" customFormat="1" ht="19.5" customHeight="1">
      <c r="A39" s="79">
        <f>A38+Vorgaben!$D$3+Vorgaben!$D$5</f>
        <v>0.6875</v>
      </c>
      <c r="B39" s="80">
        <v>27</v>
      </c>
      <c r="C39" s="170" t="s">
        <v>34</v>
      </c>
      <c r="D39" s="170"/>
      <c r="E39" s="81" t="str">
        <f>G8</f>
        <v>R. Adamowski</v>
      </c>
      <c r="F39" s="82" t="s">
        <v>6</v>
      </c>
      <c r="G39" s="83" t="str">
        <f>G7</f>
        <v>A. Staeder</v>
      </c>
      <c r="H39" s="84">
        <v>1</v>
      </c>
      <c r="I39" s="82" t="s">
        <v>7</v>
      </c>
      <c r="J39" s="85">
        <v>0</v>
      </c>
    </row>
    <row r="40" spans="1:10" s="72" customFormat="1" ht="19.5" customHeight="1">
      <c r="A40" s="79">
        <f>A39+Vorgaben!$D$3+Vorgaben!$D$5</f>
        <v>0.6875</v>
      </c>
      <c r="B40" s="80">
        <v>28</v>
      </c>
      <c r="C40" s="170" t="s">
        <v>34</v>
      </c>
      <c r="D40" s="170"/>
      <c r="E40" s="81" t="str">
        <f>G2</f>
        <v>T. Büchner</v>
      </c>
      <c r="F40" s="82" t="s">
        <v>6</v>
      </c>
      <c r="G40" s="83" t="str">
        <f>G5</f>
        <v>M. Hintze</v>
      </c>
      <c r="H40" s="84"/>
      <c r="I40" s="82" t="s">
        <v>7</v>
      </c>
      <c r="J40" s="85"/>
    </row>
    <row r="41" spans="1:10" s="72" customFormat="1" ht="19.5" customHeight="1">
      <c r="A41" s="86">
        <f>A40+Vorgaben!$D$3+Vorgaben!$D$5</f>
        <v>0.6875</v>
      </c>
      <c r="B41" s="87">
        <v>29</v>
      </c>
      <c r="C41" s="171" t="s">
        <v>35</v>
      </c>
      <c r="D41" s="171"/>
      <c r="E41" s="88" t="str">
        <f>A6</f>
        <v>C. Müller</v>
      </c>
      <c r="F41" s="89" t="s">
        <v>6</v>
      </c>
      <c r="G41" s="90" t="str">
        <f>A3</f>
        <v>T. Scheithauer</v>
      </c>
      <c r="H41" s="91"/>
      <c r="I41" s="89" t="s">
        <v>7</v>
      </c>
      <c r="J41" s="92"/>
    </row>
    <row r="42" spans="1:10" s="72" customFormat="1" ht="19.5" customHeight="1">
      <c r="A42" s="86">
        <f>A41+Vorgaben!$D$3+Vorgaben!$D$5</f>
        <v>0.6875</v>
      </c>
      <c r="B42" s="87">
        <v>30</v>
      </c>
      <c r="C42" s="171" t="s">
        <v>35</v>
      </c>
      <c r="D42" s="171"/>
      <c r="E42" s="88" t="str">
        <f>A2</f>
        <v>M. Maart</v>
      </c>
      <c r="F42" s="89" t="s">
        <v>6</v>
      </c>
      <c r="G42" s="90" t="str">
        <f>A4</f>
        <v>A. Langkamp</v>
      </c>
      <c r="H42" s="91"/>
      <c r="I42" s="89" t="s">
        <v>7</v>
      </c>
      <c r="J42" s="92"/>
    </row>
    <row r="43" spans="1:10" s="72" customFormat="1" ht="19.5" customHeight="1">
      <c r="A43" s="79">
        <f>A42+Vorgaben!$D$3+Vorgaben!$D$5</f>
        <v>0.6875</v>
      </c>
      <c r="B43" s="80">
        <v>31</v>
      </c>
      <c r="C43" s="170" t="s">
        <v>34</v>
      </c>
      <c r="D43" s="170"/>
      <c r="E43" s="81" t="str">
        <f>G6</f>
        <v>A. Wenzel</v>
      </c>
      <c r="F43" s="82" t="s">
        <v>6</v>
      </c>
      <c r="G43" s="83" t="str">
        <f>G3</f>
        <v>R. Breitenstein</v>
      </c>
      <c r="H43" s="84"/>
      <c r="I43" s="82" t="s">
        <v>7</v>
      </c>
      <c r="J43" s="85"/>
    </row>
    <row r="44" spans="1:10" s="72" customFormat="1" ht="19.5" customHeight="1">
      <c r="A44" s="79">
        <f>A43+Vorgaben!$D$3+Vorgaben!$D$5</f>
        <v>0.6875</v>
      </c>
      <c r="B44" s="80">
        <v>32</v>
      </c>
      <c r="C44" s="170" t="s">
        <v>34</v>
      </c>
      <c r="D44" s="170"/>
      <c r="E44" s="81" t="str">
        <f>G4</f>
        <v>J. Meyer</v>
      </c>
      <c r="F44" s="82" t="s">
        <v>6</v>
      </c>
      <c r="G44" s="83" t="str">
        <f>G2</f>
        <v>T. Büchner</v>
      </c>
      <c r="H44" s="84"/>
      <c r="I44" s="82" t="s">
        <v>7</v>
      </c>
      <c r="J44" s="85"/>
    </row>
    <row r="45" spans="1:10" s="72" customFormat="1" ht="19.5" customHeight="1">
      <c r="A45" s="86">
        <f>A44+Vorgaben!$D$3+Vorgaben!$D$5</f>
        <v>0.6875</v>
      </c>
      <c r="B45" s="87">
        <v>33</v>
      </c>
      <c r="C45" s="171" t="s">
        <v>35</v>
      </c>
      <c r="D45" s="171"/>
      <c r="E45" s="88" t="str">
        <f>A7</f>
        <v>D. Rehbock</v>
      </c>
      <c r="F45" s="89" t="s">
        <v>6</v>
      </c>
      <c r="G45" s="90" t="str">
        <f>A5</f>
        <v>T. Pochadt</v>
      </c>
      <c r="H45" s="91"/>
      <c r="I45" s="89" t="s">
        <v>7</v>
      </c>
      <c r="J45" s="92"/>
    </row>
    <row r="46" spans="1:10" s="72" customFormat="1" ht="19.5" customHeight="1">
      <c r="A46" s="86">
        <f>A45+Vorgaben!$D$3+Vorgaben!$D$5</f>
        <v>0.6875</v>
      </c>
      <c r="B46" s="146">
        <v>34</v>
      </c>
      <c r="C46" s="177" t="s">
        <v>35</v>
      </c>
      <c r="D46" s="171"/>
      <c r="E46" s="88" t="str">
        <f>A6</f>
        <v>C. Müller</v>
      </c>
      <c r="F46" s="89" t="s">
        <v>6</v>
      </c>
      <c r="G46" s="90" t="str">
        <f>A8</f>
        <v>Dr. E. Eschbach</v>
      </c>
      <c r="H46" s="91"/>
      <c r="I46" s="89" t="s">
        <v>7</v>
      </c>
      <c r="J46" s="92"/>
    </row>
    <row r="47" spans="1:10" s="72" customFormat="1" ht="19.5" customHeight="1">
      <c r="A47" s="79">
        <f>A46+Vorgaben!$D$3+Vorgaben!$D$5</f>
        <v>0.6875</v>
      </c>
      <c r="B47" s="80">
        <v>35</v>
      </c>
      <c r="C47" s="170" t="s">
        <v>34</v>
      </c>
      <c r="D47" s="170"/>
      <c r="E47" s="81" t="str">
        <f>G7</f>
        <v>A. Staeder</v>
      </c>
      <c r="F47" s="82" t="s">
        <v>6</v>
      </c>
      <c r="G47" s="83" t="str">
        <f>G5</f>
        <v>M. Hintze</v>
      </c>
      <c r="H47" s="84"/>
      <c r="I47" s="82" t="s">
        <v>7</v>
      </c>
      <c r="J47" s="85"/>
    </row>
    <row r="48" spans="1:10" s="72" customFormat="1" ht="19.5" customHeight="1">
      <c r="A48" s="79">
        <f>A47+Vorgaben!$D$3+Vorgaben!$D$5</f>
        <v>0.6875</v>
      </c>
      <c r="B48" s="80">
        <v>36</v>
      </c>
      <c r="C48" s="170" t="s">
        <v>34</v>
      </c>
      <c r="D48" s="170"/>
      <c r="E48" s="81" t="str">
        <f>G6</f>
        <v>A. Wenzel</v>
      </c>
      <c r="F48" s="82" t="s">
        <v>6</v>
      </c>
      <c r="G48" s="83" t="str">
        <f>G8</f>
        <v>R. Adamowski</v>
      </c>
      <c r="H48" s="84">
        <v>0</v>
      </c>
      <c r="I48" s="82" t="s">
        <v>7</v>
      </c>
      <c r="J48" s="85">
        <v>1</v>
      </c>
    </row>
    <row r="49" spans="1:10" s="72" customFormat="1" ht="19.5" customHeight="1">
      <c r="A49" s="86">
        <f>A48+Vorgaben!$D$3+Vorgaben!$D$5</f>
        <v>0.6875</v>
      </c>
      <c r="B49" s="87">
        <v>37</v>
      </c>
      <c r="C49" s="171" t="s">
        <v>35</v>
      </c>
      <c r="D49" s="171"/>
      <c r="E49" s="88" t="str">
        <f>A7</f>
        <v>D. Rehbock</v>
      </c>
      <c r="F49" s="89" t="s">
        <v>6</v>
      </c>
      <c r="G49" s="90" t="str">
        <f>A4</f>
        <v>A. Langkamp</v>
      </c>
      <c r="H49" s="91"/>
      <c r="I49" s="89" t="s">
        <v>7</v>
      </c>
      <c r="J49" s="92"/>
    </row>
    <row r="50" spans="1:10" s="72" customFormat="1" ht="19.5" customHeight="1">
      <c r="A50" s="86">
        <f>A49+Vorgaben!$D$3+Vorgaben!$D$5</f>
        <v>0.6875</v>
      </c>
      <c r="B50" s="146">
        <v>38</v>
      </c>
      <c r="C50" s="177" t="s">
        <v>35</v>
      </c>
      <c r="D50" s="171"/>
      <c r="E50" s="88" t="str">
        <f>A8</f>
        <v>Dr. E. Eschbach</v>
      </c>
      <c r="F50" s="89" t="s">
        <v>6</v>
      </c>
      <c r="G50" s="90" t="str">
        <f>A3</f>
        <v>T. Scheithauer</v>
      </c>
      <c r="H50" s="91"/>
      <c r="I50" s="89" t="s">
        <v>7</v>
      </c>
      <c r="J50" s="92"/>
    </row>
    <row r="51" spans="1:10" s="72" customFormat="1" ht="19.5" customHeight="1">
      <c r="A51" s="79">
        <f>A50+Vorgaben!$D$3+Vorgaben!$D$5</f>
        <v>0.6875</v>
      </c>
      <c r="B51" s="80">
        <v>39</v>
      </c>
      <c r="C51" s="170" t="s">
        <v>34</v>
      </c>
      <c r="D51" s="170"/>
      <c r="E51" s="81" t="str">
        <f>G4</f>
        <v>J. Meyer</v>
      </c>
      <c r="F51" s="82" t="s">
        <v>6</v>
      </c>
      <c r="G51" s="83" t="str">
        <f>G7</f>
        <v>A. Staeder</v>
      </c>
      <c r="H51" s="84"/>
      <c r="I51" s="82" t="s">
        <v>7</v>
      </c>
      <c r="J51" s="85"/>
    </row>
    <row r="52" spans="1:10" s="72" customFormat="1" ht="19.5" customHeight="1">
      <c r="A52" s="79">
        <f>A51+Vorgaben!$D$3+Vorgaben!$D$5</f>
        <v>0.6875</v>
      </c>
      <c r="B52" s="80">
        <v>40</v>
      </c>
      <c r="C52" s="170" t="s">
        <v>34</v>
      </c>
      <c r="D52" s="170"/>
      <c r="E52" s="81" t="str">
        <f>G8</f>
        <v>R. Adamowski</v>
      </c>
      <c r="F52" s="82" t="s">
        <v>6</v>
      </c>
      <c r="G52" s="83" t="str">
        <f>G3</f>
        <v>R. Breitenstein</v>
      </c>
      <c r="H52" s="84">
        <v>1</v>
      </c>
      <c r="I52" s="82" t="s">
        <v>7</v>
      </c>
      <c r="J52" s="85">
        <v>0</v>
      </c>
    </row>
    <row r="53" spans="1:10" s="72" customFormat="1" ht="19.5" customHeight="1">
      <c r="A53" s="86">
        <f>A52+Vorgaben!$D$3+Vorgaben!$D$5</f>
        <v>0.6875</v>
      </c>
      <c r="B53" s="87">
        <v>41</v>
      </c>
      <c r="C53" s="171" t="s">
        <v>35</v>
      </c>
      <c r="D53" s="171"/>
      <c r="E53" s="88" t="str">
        <f>A5</f>
        <v>T. Pochadt</v>
      </c>
      <c r="F53" s="89" t="s">
        <v>6</v>
      </c>
      <c r="G53" s="90" t="str">
        <f>A6</f>
        <v>C. Müller</v>
      </c>
      <c r="H53" s="91"/>
      <c r="I53" s="89" t="s">
        <v>7</v>
      </c>
      <c r="J53" s="92"/>
    </row>
    <row r="54" spans="1:10" s="72" customFormat="1" ht="19.5" customHeight="1">
      <c r="A54" s="79">
        <f>A53+Vorgaben!$D$3+Vorgaben!$D$5</f>
        <v>0.6875</v>
      </c>
      <c r="B54" s="80">
        <v>42</v>
      </c>
      <c r="C54" s="170" t="s">
        <v>34</v>
      </c>
      <c r="D54" s="170"/>
      <c r="E54" s="81" t="str">
        <f>G5</f>
        <v>M. Hintze</v>
      </c>
      <c r="F54" s="82" t="s">
        <v>6</v>
      </c>
      <c r="G54" s="83" t="str">
        <f>G6</f>
        <v>A. Wenzel</v>
      </c>
      <c r="H54" s="84"/>
      <c r="I54" s="82" t="s">
        <v>7</v>
      </c>
      <c r="J54" s="85"/>
    </row>
    <row r="55" spans="1:10" s="72" customFormat="1" ht="19.5" customHeight="1" hidden="1">
      <c r="A55" s="79">
        <f>A39+Vorgaben!$D$3+Vorgaben!$D$5</f>
        <v>0.6875</v>
      </c>
      <c r="B55" s="80">
        <v>20</v>
      </c>
      <c r="C55" s="170" t="s">
        <v>22</v>
      </c>
      <c r="D55" s="170"/>
      <c r="E55" s="81">
        <f>A10</f>
        <v>0</v>
      </c>
      <c r="F55" s="82" t="s">
        <v>6</v>
      </c>
      <c r="G55" s="83" t="str">
        <f>A8</f>
        <v>Dr. E. Eschbach</v>
      </c>
      <c r="H55" s="84"/>
      <c r="I55" s="82" t="s">
        <v>7</v>
      </c>
      <c r="J55" s="85"/>
    </row>
    <row r="56" spans="1:10" s="72" customFormat="1" ht="19.5" customHeight="1" hidden="1">
      <c r="A56" s="79">
        <f>A44+Vorgaben!$D$3+Vorgaben!$D$5</f>
        <v>0.6875</v>
      </c>
      <c r="B56" s="80">
        <v>23</v>
      </c>
      <c r="C56" s="170" t="s">
        <v>22</v>
      </c>
      <c r="D56" s="170"/>
      <c r="E56" s="81" t="str">
        <f>A6</f>
        <v>C. Müller</v>
      </c>
      <c r="F56" s="82" t="s">
        <v>6</v>
      </c>
      <c r="G56" s="83">
        <f>A9</f>
        <v>0</v>
      </c>
      <c r="H56" s="84"/>
      <c r="I56" s="82" t="s">
        <v>7</v>
      </c>
      <c r="J56" s="85"/>
    </row>
    <row r="57" spans="1:10" s="72" customFormat="1" ht="19.5" customHeight="1" hidden="1">
      <c r="A57" s="79">
        <f>A49+Vorgaben!$D$3+Vorgaben!$D$5</f>
        <v>0.6875</v>
      </c>
      <c r="B57" s="80">
        <v>27</v>
      </c>
      <c r="C57" s="170" t="s">
        <v>22</v>
      </c>
      <c r="D57" s="170"/>
      <c r="E57" s="81">
        <f>A10</f>
        <v>0</v>
      </c>
      <c r="F57" s="82" t="s">
        <v>6</v>
      </c>
      <c r="G57" s="83" t="str">
        <f>A5</f>
        <v>T. Pochadt</v>
      </c>
      <c r="H57" s="84"/>
      <c r="I57" s="82" t="s">
        <v>7</v>
      </c>
      <c r="J57" s="85"/>
    </row>
    <row r="58" spans="1:10" s="72" customFormat="1" ht="19.5" customHeight="1" hidden="1">
      <c r="A58" s="79">
        <f>A48+Vorgaben!$D$3+Vorgaben!$D$5</f>
        <v>0.6875</v>
      </c>
      <c r="B58" s="80">
        <v>29</v>
      </c>
      <c r="C58" s="170" t="s">
        <v>22</v>
      </c>
      <c r="D58" s="170"/>
      <c r="E58" s="81">
        <f>A9</f>
        <v>0</v>
      </c>
      <c r="F58" s="82" t="s">
        <v>6</v>
      </c>
      <c r="G58" s="83" t="str">
        <f>A2</f>
        <v>M. Maart</v>
      </c>
      <c r="H58" s="84"/>
      <c r="I58" s="82" t="s">
        <v>7</v>
      </c>
      <c r="J58" s="85"/>
    </row>
    <row r="59" spans="1:10" s="72" customFormat="1" ht="19.5" customHeight="1" hidden="1">
      <c r="A59" s="79">
        <f>A22+Vorgaben!$D$3+Vorgaben!$D$5</f>
        <v>0.6875</v>
      </c>
      <c r="B59" s="80">
        <v>33</v>
      </c>
      <c r="C59" s="170" t="s">
        <v>22</v>
      </c>
      <c r="D59" s="170"/>
      <c r="E59" s="81" t="str">
        <f>A5</f>
        <v>T. Pochadt</v>
      </c>
      <c r="F59" s="82" t="s">
        <v>6</v>
      </c>
      <c r="G59" s="83">
        <f>A9</f>
        <v>0</v>
      </c>
      <c r="H59" s="84"/>
      <c r="I59" s="82" t="s">
        <v>7</v>
      </c>
      <c r="J59" s="85"/>
    </row>
    <row r="60" spans="1:10" s="72" customFormat="1" ht="19.5" customHeight="1" hidden="1">
      <c r="A60" s="79">
        <f>A18+Vorgaben!$D$3+Vorgaben!$D$5</f>
        <v>0.6875</v>
      </c>
      <c r="B60" s="80">
        <v>36</v>
      </c>
      <c r="C60" s="170" t="s">
        <v>22</v>
      </c>
      <c r="D60" s="170"/>
      <c r="E60" s="81" t="str">
        <f>A4</f>
        <v>A. Langkamp</v>
      </c>
      <c r="F60" s="82" t="s">
        <v>6</v>
      </c>
      <c r="G60" s="83">
        <f>A10</f>
        <v>0</v>
      </c>
      <c r="H60" s="84"/>
      <c r="I60" s="82" t="s">
        <v>7</v>
      </c>
      <c r="J60" s="85"/>
    </row>
    <row r="61" spans="1:10" s="72" customFormat="1" ht="19.5" customHeight="1" hidden="1">
      <c r="A61" s="79">
        <f>A47+Vorgaben!$D$7</f>
        <v>0.6875</v>
      </c>
      <c r="B61" s="80">
        <v>43</v>
      </c>
      <c r="C61" s="170" t="s">
        <v>22</v>
      </c>
      <c r="D61" s="170"/>
      <c r="E61" s="81" t="str">
        <f>A3</f>
        <v>T. Scheithauer</v>
      </c>
      <c r="F61" s="82" t="s">
        <v>6</v>
      </c>
      <c r="G61" s="83">
        <f>A10</f>
        <v>0</v>
      </c>
      <c r="H61" s="84"/>
      <c r="I61" s="82" t="s">
        <v>7</v>
      </c>
      <c r="J61" s="85"/>
    </row>
    <row r="62" spans="1:10" s="72" customFormat="1" ht="19.5" customHeight="1" hidden="1">
      <c r="A62" s="79">
        <f>A32+Vorgaben!$D$3+Vorgaben!$D$5</f>
        <v>0.6875</v>
      </c>
      <c r="B62" s="80">
        <v>42</v>
      </c>
      <c r="C62" s="170" t="s">
        <v>22</v>
      </c>
      <c r="D62" s="170"/>
      <c r="E62" s="81">
        <f>A9</f>
        <v>0</v>
      </c>
      <c r="F62" s="82" t="s">
        <v>6</v>
      </c>
      <c r="G62" s="83" t="str">
        <f>A7</f>
        <v>D. Rehbock</v>
      </c>
      <c r="H62" s="84"/>
      <c r="I62" s="82" t="s">
        <v>7</v>
      </c>
      <c r="J62" s="85"/>
    </row>
    <row r="63" spans="1:10" s="72" customFormat="1" ht="19.5" customHeight="1" hidden="1">
      <c r="A63" s="79">
        <f>A52+Vorgaben!$D$3+Vorgaben!$D$5</f>
        <v>0.6875</v>
      </c>
      <c r="B63" s="80">
        <v>48</v>
      </c>
      <c r="C63" s="170" t="s">
        <v>22</v>
      </c>
      <c r="D63" s="170"/>
      <c r="E63" s="81">
        <f>A10</f>
        <v>0</v>
      </c>
      <c r="F63" s="82" t="s">
        <v>6</v>
      </c>
      <c r="G63" s="83" t="str">
        <f>A7</f>
        <v>D. Rehbock</v>
      </c>
      <c r="H63" s="84"/>
      <c r="I63" s="82" t="s">
        <v>7</v>
      </c>
      <c r="J63" s="85"/>
    </row>
    <row r="64" spans="1:10" s="72" customFormat="1" ht="19.5" customHeight="1" hidden="1">
      <c r="A64" s="79">
        <f>A63+Vorgaben!$D$3+Vorgaben!$D$5</f>
        <v>0.6875</v>
      </c>
      <c r="B64" s="80">
        <v>49</v>
      </c>
      <c r="C64" s="170" t="s">
        <v>22</v>
      </c>
      <c r="D64" s="170"/>
      <c r="E64" s="81" t="str">
        <f>A3</f>
        <v>T. Scheithauer</v>
      </c>
      <c r="F64" s="82" t="s">
        <v>6</v>
      </c>
      <c r="G64" s="83">
        <f>A9</f>
        <v>0</v>
      </c>
      <c r="H64" s="84"/>
      <c r="I64" s="82" t="s">
        <v>7</v>
      </c>
      <c r="J64" s="85"/>
    </row>
    <row r="65" spans="1:10" s="72" customFormat="1" ht="19.5" customHeight="1" hidden="1">
      <c r="A65" s="79">
        <f>A24+Vorgaben!$D$3+Vorgaben!$D$5</f>
        <v>0.6875</v>
      </c>
      <c r="B65" s="80">
        <v>52</v>
      </c>
      <c r="C65" s="170" t="s">
        <v>22</v>
      </c>
      <c r="D65" s="170"/>
      <c r="E65" s="81" t="str">
        <f>A6</f>
        <v>C. Müller</v>
      </c>
      <c r="F65" s="82" t="s">
        <v>6</v>
      </c>
      <c r="G65" s="83">
        <f>A10</f>
        <v>0</v>
      </c>
      <c r="H65" s="84"/>
      <c r="I65" s="82" t="s">
        <v>7</v>
      </c>
      <c r="J65" s="85"/>
    </row>
    <row r="66" spans="1:10" s="72" customFormat="1" ht="19.5" customHeight="1" hidden="1">
      <c r="A66" s="79">
        <f>A25+Vorgaben!$D$3+Vorgaben!$D$5</f>
        <v>0.6875</v>
      </c>
      <c r="B66" s="80">
        <v>55</v>
      </c>
      <c r="C66" s="170" t="s">
        <v>22</v>
      </c>
      <c r="D66" s="170"/>
      <c r="E66" s="81">
        <f>A9</f>
        <v>0</v>
      </c>
      <c r="F66" s="82" t="s">
        <v>6</v>
      </c>
      <c r="G66" s="83" t="str">
        <f>A4</f>
        <v>A. Langkamp</v>
      </c>
      <c r="H66" s="84"/>
      <c r="I66" s="82" t="s">
        <v>7</v>
      </c>
      <c r="J66" s="85"/>
    </row>
    <row r="67" spans="1:10" s="72" customFormat="1" ht="19.5" customHeight="1" hidden="1">
      <c r="A67" s="79">
        <f>A17+Vorgaben!$D$3+Vorgaben!$D$5</f>
        <v>0.6875</v>
      </c>
      <c r="B67" s="80">
        <v>6</v>
      </c>
      <c r="C67" s="170" t="s">
        <v>35</v>
      </c>
      <c r="D67" s="170"/>
      <c r="E67" s="81" t="str">
        <f>A8</f>
        <v>Dr. E. Eschbach</v>
      </c>
      <c r="F67" s="82" t="s">
        <v>6</v>
      </c>
      <c r="G67" s="83">
        <f>A9</f>
        <v>0</v>
      </c>
      <c r="H67" s="84"/>
      <c r="I67" s="82" t="s">
        <v>7</v>
      </c>
      <c r="J67" s="85"/>
    </row>
    <row r="68" spans="1:10" s="72" customFormat="1" ht="19.5" customHeight="1" hidden="1">
      <c r="A68" s="79">
        <f>A19+Vorgaben!$D$3+Vorgaben!$D$5</f>
        <v>0.6875</v>
      </c>
      <c r="B68" s="80">
        <v>8</v>
      </c>
      <c r="C68" s="170" t="s">
        <v>35</v>
      </c>
      <c r="D68" s="170"/>
      <c r="E68" s="81">
        <f>A10</f>
        <v>0</v>
      </c>
      <c r="F68" s="82" t="s">
        <v>6</v>
      </c>
      <c r="G68" s="83" t="str">
        <f>A2</f>
        <v>M. Maart</v>
      </c>
      <c r="H68" s="84"/>
      <c r="I68" s="82" t="s">
        <v>7</v>
      </c>
      <c r="J68" s="85"/>
    </row>
    <row r="69" spans="1:10" s="72" customFormat="1" ht="19.5" customHeight="1" hidden="1">
      <c r="A69" s="79">
        <f>A31+Vorgaben!$D$3+Vorgaben!$D$5</f>
        <v>0.6875</v>
      </c>
      <c r="B69" s="80">
        <v>14</v>
      </c>
      <c r="C69" s="170" t="s">
        <v>35</v>
      </c>
      <c r="D69" s="170"/>
      <c r="E69" s="81">
        <f>A9</f>
        <v>0</v>
      </c>
      <c r="F69" s="82" t="s">
        <v>6</v>
      </c>
      <c r="G69" s="83">
        <f>A10</f>
        <v>0</v>
      </c>
      <c r="H69" s="84"/>
      <c r="I69" s="82" t="s">
        <v>7</v>
      </c>
      <c r="J69" s="85"/>
    </row>
    <row r="70" spans="1:10" ht="26.25" customHeight="1" thickBot="1">
      <c r="A70" s="151" t="s">
        <v>72</v>
      </c>
      <c r="B70" s="151"/>
      <c r="C70" s="151"/>
      <c r="D70" s="151"/>
      <c r="E70" s="151"/>
      <c r="F70" s="151"/>
      <c r="G70" s="151"/>
      <c r="H70" s="151"/>
      <c r="I70" s="132"/>
      <c r="J70" s="132"/>
    </row>
    <row r="71" spans="1:10" ht="13.5" thickBot="1">
      <c r="A71" s="174" t="s">
        <v>67</v>
      </c>
      <c r="B71" s="175"/>
      <c r="C71" s="175"/>
      <c r="D71" s="176"/>
      <c r="E71" s="93"/>
      <c r="F71" s="124"/>
      <c r="G71" s="157" t="s">
        <v>68</v>
      </c>
      <c r="H71" s="158"/>
      <c r="I71" s="94"/>
      <c r="J71" s="94"/>
    </row>
    <row r="72" spans="1:10" ht="12.75">
      <c r="A72" s="167" t="str">
        <f>IF(J53="","1. Gruppe A",'Gruppen-Tabellen'!$B$3)</f>
        <v>1. Gruppe A</v>
      </c>
      <c r="B72" s="168"/>
      <c r="C72" s="168"/>
      <c r="D72" s="169"/>
      <c r="E72" s="95"/>
      <c r="F72" s="96"/>
      <c r="G72" s="172" t="str">
        <f>IF(J54="","1. Gruppe B",'Gruppen-Tabellen'!$B$15)</f>
        <v>1. Gruppe B</v>
      </c>
      <c r="H72" s="173"/>
      <c r="I72" s="97"/>
      <c r="J72" s="97"/>
    </row>
    <row r="73" spans="1:10" ht="8.25" customHeight="1">
      <c r="A73" s="164" t="s">
        <v>43</v>
      </c>
      <c r="B73" s="165"/>
      <c r="C73" s="165"/>
      <c r="D73" s="166"/>
      <c r="E73" s="98"/>
      <c r="F73" s="96"/>
      <c r="G73" s="164" t="s">
        <v>41</v>
      </c>
      <c r="H73" s="166"/>
      <c r="I73" s="99"/>
      <c r="J73" s="99"/>
    </row>
    <row r="74" spans="1:10" ht="12.75">
      <c r="A74" s="167" t="str">
        <f>IF(J53="","2. Gruppe A",'Gruppen-Tabellen'!$B$4)</f>
        <v>2. Gruppe A</v>
      </c>
      <c r="B74" s="168"/>
      <c r="C74" s="168"/>
      <c r="D74" s="169"/>
      <c r="E74" s="95"/>
      <c r="F74" s="96"/>
      <c r="G74" s="167" t="str">
        <f>IF(J54="","2. Gruppe B",'Gruppen-Tabellen'!$B$16)</f>
        <v>2. Gruppe B</v>
      </c>
      <c r="H74" s="169"/>
      <c r="I74" s="97"/>
      <c r="J74" s="97"/>
    </row>
    <row r="75" spans="1:10" ht="8.25" customHeight="1">
      <c r="A75" s="164" t="s">
        <v>42</v>
      </c>
      <c r="B75" s="165"/>
      <c r="C75" s="165"/>
      <c r="D75" s="166"/>
      <c r="E75" s="98"/>
      <c r="F75" s="96"/>
      <c r="G75" s="164" t="s">
        <v>40</v>
      </c>
      <c r="H75" s="166"/>
      <c r="I75" s="99"/>
      <c r="J75" s="99"/>
    </row>
    <row r="76" spans="1:10" ht="12.75">
      <c r="A76" s="167" t="str">
        <f>IF(J54="","3. Gruppe B",'Gruppen-Tabellen'!$B$17)</f>
        <v>3. Gruppe B</v>
      </c>
      <c r="B76" s="168"/>
      <c r="C76" s="168"/>
      <c r="D76" s="169"/>
      <c r="E76" s="95"/>
      <c r="F76" s="96"/>
      <c r="G76" s="167" t="str">
        <f>IF(J53="","3. Gruppe A",'Gruppen-Tabellen'!$B$5)</f>
        <v>3. Gruppe A</v>
      </c>
      <c r="H76" s="169"/>
      <c r="I76" s="97"/>
      <c r="J76" s="97"/>
    </row>
    <row r="77" spans="1:10" ht="8.25" customHeight="1">
      <c r="A77" s="164" t="s">
        <v>38</v>
      </c>
      <c r="B77" s="165"/>
      <c r="C77" s="165"/>
      <c r="D77" s="166"/>
      <c r="E77" s="98"/>
      <c r="F77" s="96"/>
      <c r="G77" s="164" t="s">
        <v>39</v>
      </c>
      <c r="H77" s="166"/>
      <c r="I77" s="99"/>
      <c r="J77" s="99"/>
    </row>
    <row r="78" spans="1:10" ht="12.75">
      <c r="A78" s="167" t="str">
        <f>IF(J54="","4. Gruppe B",'Gruppen-Tabellen'!$B$18)</f>
        <v>4. Gruppe B</v>
      </c>
      <c r="B78" s="168"/>
      <c r="C78" s="168"/>
      <c r="D78" s="169"/>
      <c r="E78" s="95"/>
      <c r="F78" s="96"/>
      <c r="G78" s="167" t="str">
        <f>IF(J53="","4. Gruppe A",'Gruppen-Tabellen'!$B$6)</f>
        <v>4. Gruppe A</v>
      </c>
      <c r="H78" s="169"/>
      <c r="I78" s="97"/>
      <c r="J78" s="97"/>
    </row>
    <row r="79" spans="1:10" ht="8.25" customHeight="1">
      <c r="A79" s="164" t="s">
        <v>36</v>
      </c>
      <c r="B79" s="165"/>
      <c r="C79" s="165"/>
      <c r="D79" s="166"/>
      <c r="E79" s="98"/>
      <c r="F79" s="96"/>
      <c r="G79" s="164" t="s">
        <v>37</v>
      </c>
      <c r="H79" s="166"/>
      <c r="I79" s="99"/>
      <c r="J79" s="99"/>
    </row>
    <row r="80" spans="1:10" ht="12.75">
      <c r="A80" s="98"/>
      <c r="B80" s="95"/>
      <c r="C80" s="95"/>
      <c r="D80" s="95"/>
      <c r="E80" s="95"/>
      <c r="F80" s="96"/>
      <c r="G80" s="98"/>
      <c r="H80" s="95"/>
      <c r="I80" s="95"/>
      <c r="J80" s="95"/>
    </row>
    <row r="81" spans="1:10" ht="21" customHeight="1">
      <c r="A81" s="103" t="s">
        <v>2</v>
      </c>
      <c r="B81" s="103" t="s">
        <v>3</v>
      </c>
      <c r="C81" s="154" t="s">
        <v>4</v>
      </c>
      <c r="D81" s="154"/>
      <c r="E81" s="104" t="s">
        <v>53</v>
      </c>
      <c r="F81" s="105"/>
      <c r="G81" s="105"/>
      <c r="H81" s="106" t="s">
        <v>5</v>
      </c>
      <c r="I81" s="107"/>
      <c r="J81" s="107"/>
    </row>
    <row r="82" spans="1:10" ht="19.5" customHeight="1">
      <c r="A82" s="125">
        <f>A54+Vorgaben!$D$3+Vorgaben!$D$7</f>
        <v>0.6875</v>
      </c>
      <c r="B82" s="126">
        <v>43</v>
      </c>
      <c r="C82" s="163" t="s">
        <v>73</v>
      </c>
      <c r="D82" s="163"/>
      <c r="E82" s="127" t="str">
        <f>A72</f>
        <v>1. Gruppe A</v>
      </c>
      <c r="F82" s="128" t="s">
        <v>6</v>
      </c>
      <c r="G82" s="129" t="str">
        <f>A74</f>
        <v>2. Gruppe A</v>
      </c>
      <c r="H82" s="130"/>
      <c r="I82" s="128" t="s">
        <v>7</v>
      </c>
      <c r="J82" s="131"/>
    </row>
    <row r="83" spans="1:10" ht="19.5" customHeight="1">
      <c r="A83" s="79">
        <f>A82+Vorgaben!$D$3+Vorgaben!$D$5</f>
        <v>0.6875</v>
      </c>
      <c r="B83" s="108">
        <f aca="true" t="shared" si="0" ref="B83:B93">B82+1</f>
        <v>44</v>
      </c>
      <c r="C83" s="162" t="s">
        <v>73</v>
      </c>
      <c r="D83" s="162"/>
      <c r="E83" s="81" t="str">
        <f>A76</f>
        <v>3. Gruppe B</v>
      </c>
      <c r="F83" s="82" t="s">
        <v>6</v>
      </c>
      <c r="G83" s="83" t="str">
        <f>A78</f>
        <v>4. Gruppe B</v>
      </c>
      <c r="H83" s="84"/>
      <c r="I83" s="82" t="s">
        <v>7</v>
      </c>
      <c r="J83" s="85"/>
    </row>
    <row r="84" spans="1:10" ht="19.5" customHeight="1">
      <c r="A84" s="125">
        <f>A83+Vorgaben!$D$3+Vorgaben!$D$5</f>
        <v>0.6875</v>
      </c>
      <c r="B84" s="126">
        <f t="shared" si="0"/>
        <v>45</v>
      </c>
      <c r="C84" s="163" t="s">
        <v>74</v>
      </c>
      <c r="D84" s="163"/>
      <c r="E84" s="127" t="str">
        <f>G72</f>
        <v>1. Gruppe B</v>
      </c>
      <c r="F84" s="128" t="s">
        <v>6</v>
      </c>
      <c r="G84" s="129" t="str">
        <f>G74</f>
        <v>2. Gruppe B</v>
      </c>
      <c r="H84" s="130"/>
      <c r="I84" s="128" t="s">
        <v>7</v>
      </c>
      <c r="J84" s="131"/>
    </row>
    <row r="85" spans="1:10" ht="19.5" customHeight="1">
      <c r="A85" s="79">
        <f>A84+Vorgaben!$D$3+Vorgaben!$D$5</f>
        <v>0.6875</v>
      </c>
      <c r="B85" s="108">
        <f t="shared" si="0"/>
        <v>46</v>
      </c>
      <c r="C85" s="162" t="s">
        <v>74</v>
      </c>
      <c r="D85" s="162"/>
      <c r="E85" s="81" t="str">
        <f>G76</f>
        <v>3. Gruppe A</v>
      </c>
      <c r="F85" s="82" t="s">
        <v>6</v>
      </c>
      <c r="G85" s="83" t="str">
        <f>G78</f>
        <v>4. Gruppe A</v>
      </c>
      <c r="H85" s="84">
        <v>0</v>
      </c>
      <c r="I85" s="82" t="s">
        <v>7</v>
      </c>
      <c r="J85" s="85">
        <v>1</v>
      </c>
    </row>
    <row r="86" spans="1:10" ht="19.5" customHeight="1">
      <c r="A86" s="125">
        <f>A85+Vorgaben!$D$3+Vorgaben!$D$5</f>
        <v>0.6875</v>
      </c>
      <c r="B86" s="147">
        <f t="shared" si="0"/>
        <v>47</v>
      </c>
      <c r="C86" s="163" t="s">
        <v>73</v>
      </c>
      <c r="D86" s="163"/>
      <c r="E86" s="127" t="str">
        <f>A72</f>
        <v>1. Gruppe A</v>
      </c>
      <c r="F86" s="128" t="s">
        <v>6</v>
      </c>
      <c r="G86" s="129" t="str">
        <f>A78</f>
        <v>4. Gruppe B</v>
      </c>
      <c r="H86" s="130"/>
      <c r="I86" s="128" t="s">
        <v>7</v>
      </c>
      <c r="J86" s="131"/>
    </row>
    <row r="87" spans="1:10" ht="19.5" customHeight="1">
      <c r="A87" s="79">
        <f>A86+Vorgaben!$D$3+Vorgaben!$D$5</f>
        <v>0.6875</v>
      </c>
      <c r="B87" s="108">
        <f t="shared" si="0"/>
        <v>48</v>
      </c>
      <c r="C87" s="162" t="s">
        <v>73</v>
      </c>
      <c r="D87" s="162"/>
      <c r="E87" s="81" t="str">
        <f>A74</f>
        <v>2. Gruppe A</v>
      </c>
      <c r="F87" s="82" t="s">
        <v>6</v>
      </c>
      <c r="G87" s="83" t="str">
        <f>A76</f>
        <v>3. Gruppe B</v>
      </c>
      <c r="H87" s="84"/>
      <c r="I87" s="82" t="s">
        <v>7</v>
      </c>
      <c r="J87" s="85"/>
    </row>
    <row r="88" spans="1:10" ht="19.5" customHeight="1">
      <c r="A88" s="125">
        <f>A87+Vorgaben!$D$3+Vorgaben!$D$5</f>
        <v>0.6875</v>
      </c>
      <c r="B88" s="147">
        <f t="shared" si="0"/>
        <v>49</v>
      </c>
      <c r="C88" s="163" t="s">
        <v>74</v>
      </c>
      <c r="D88" s="163"/>
      <c r="E88" s="127" t="str">
        <f>G74</f>
        <v>2. Gruppe B</v>
      </c>
      <c r="F88" s="128" t="s">
        <v>6</v>
      </c>
      <c r="G88" s="129" t="str">
        <f>G78</f>
        <v>4. Gruppe A</v>
      </c>
      <c r="H88" s="130">
        <v>0</v>
      </c>
      <c r="I88" s="128" t="s">
        <v>7</v>
      </c>
      <c r="J88" s="131">
        <v>1</v>
      </c>
    </row>
    <row r="89" spans="1:10" ht="19.5" customHeight="1">
      <c r="A89" s="79">
        <f>A88+Vorgaben!$D$3+Vorgaben!$D$5</f>
        <v>0.6875</v>
      </c>
      <c r="B89" s="108">
        <f t="shared" si="0"/>
        <v>50</v>
      </c>
      <c r="C89" s="162" t="s">
        <v>74</v>
      </c>
      <c r="D89" s="162"/>
      <c r="E89" s="81" t="str">
        <f>G72</f>
        <v>1. Gruppe B</v>
      </c>
      <c r="F89" s="82" t="s">
        <v>6</v>
      </c>
      <c r="G89" s="83" t="str">
        <f>G76</f>
        <v>3. Gruppe A</v>
      </c>
      <c r="H89" s="84"/>
      <c r="I89" s="82" t="s">
        <v>7</v>
      </c>
      <c r="J89" s="85"/>
    </row>
    <row r="90" spans="1:10" ht="19.5" customHeight="1">
      <c r="A90" s="125">
        <f>A89+Vorgaben!$D$3+Vorgaben!$D$5</f>
        <v>0.6875</v>
      </c>
      <c r="B90" s="147">
        <f t="shared" si="0"/>
        <v>51</v>
      </c>
      <c r="C90" s="163" t="s">
        <v>73</v>
      </c>
      <c r="D90" s="163"/>
      <c r="E90" s="127" t="str">
        <f>A72</f>
        <v>1. Gruppe A</v>
      </c>
      <c r="F90" s="128" t="s">
        <v>6</v>
      </c>
      <c r="G90" s="129" t="str">
        <f>A76</f>
        <v>3. Gruppe B</v>
      </c>
      <c r="H90" s="130"/>
      <c r="I90" s="128" t="s">
        <v>7</v>
      </c>
      <c r="J90" s="131"/>
    </row>
    <row r="91" spans="1:10" ht="19.5" customHeight="1">
      <c r="A91" s="79">
        <f>A90+Vorgaben!$D$3+Vorgaben!$D$5</f>
        <v>0.6875</v>
      </c>
      <c r="B91" s="108">
        <f t="shared" si="0"/>
        <v>52</v>
      </c>
      <c r="C91" s="162" t="s">
        <v>73</v>
      </c>
      <c r="D91" s="162"/>
      <c r="E91" s="81" t="str">
        <f>A74</f>
        <v>2. Gruppe A</v>
      </c>
      <c r="F91" s="82" t="s">
        <v>6</v>
      </c>
      <c r="G91" s="83" t="str">
        <f>A78</f>
        <v>4. Gruppe B</v>
      </c>
      <c r="H91" s="84"/>
      <c r="I91" s="82" t="s">
        <v>7</v>
      </c>
      <c r="J91" s="85"/>
    </row>
    <row r="92" spans="1:10" ht="19.5" customHeight="1">
      <c r="A92" s="125">
        <f>A91+Vorgaben!$D$3+Vorgaben!$D$5</f>
        <v>0.6875</v>
      </c>
      <c r="B92" s="147">
        <f t="shared" si="0"/>
        <v>53</v>
      </c>
      <c r="C92" s="163" t="s">
        <v>74</v>
      </c>
      <c r="D92" s="163"/>
      <c r="E92" s="127" t="str">
        <f>G72</f>
        <v>1. Gruppe B</v>
      </c>
      <c r="F92" s="128" t="s">
        <v>6</v>
      </c>
      <c r="G92" s="129" t="str">
        <f>G78</f>
        <v>4. Gruppe A</v>
      </c>
      <c r="H92" s="130">
        <v>0</v>
      </c>
      <c r="I92" s="128" t="s">
        <v>7</v>
      </c>
      <c r="J92" s="131">
        <v>1</v>
      </c>
    </row>
    <row r="93" spans="1:10" ht="19.5" customHeight="1">
      <c r="A93" s="79">
        <f>A92+Vorgaben!$D$3+Vorgaben!$D$5</f>
        <v>0.6875</v>
      </c>
      <c r="B93" s="108">
        <f t="shared" si="0"/>
        <v>54</v>
      </c>
      <c r="C93" s="162" t="s">
        <v>74</v>
      </c>
      <c r="D93" s="162"/>
      <c r="E93" s="81" t="str">
        <f>G74</f>
        <v>2. Gruppe B</v>
      </c>
      <c r="F93" s="82" t="s">
        <v>6</v>
      </c>
      <c r="G93" s="83" t="str">
        <f>G76</f>
        <v>3. Gruppe A</v>
      </c>
      <c r="H93" s="84"/>
      <c r="I93" s="82" t="s">
        <v>7</v>
      </c>
      <c r="J93" s="85"/>
    </row>
    <row r="94" spans="1:10" ht="21">
      <c r="A94" s="159" t="s">
        <v>54</v>
      </c>
      <c r="B94" s="159"/>
      <c r="C94" s="159"/>
      <c r="D94" s="159"/>
      <c r="E94" s="159"/>
      <c r="F94" s="159"/>
      <c r="G94" s="159"/>
      <c r="H94" s="109"/>
      <c r="I94" s="110"/>
      <c r="J94" s="100"/>
    </row>
    <row r="95" spans="1:10" ht="21" customHeight="1">
      <c r="A95" s="160" t="s">
        <v>75</v>
      </c>
      <c r="B95" s="161"/>
      <c r="C95" s="161"/>
      <c r="D95" s="161"/>
      <c r="E95" s="161"/>
      <c r="F95" s="161"/>
      <c r="G95" s="161"/>
      <c r="H95" s="106" t="s">
        <v>5</v>
      </c>
      <c r="I95" s="107"/>
      <c r="J95" s="107"/>
    </row>
    <row r="96" spans="1:10" s="140" customFormat="1" ht="21" customHeight="1">
      <c r="A96" s="135">
        <f>A93+Vorgaben!$D$3+Vorgaben!$D$5</f>
        <v>0.6875</v>
      </c>
      <c r="B96" s="118">
        <f>B93+1</f>
        <v>55</v>
      </c>
      <c r="C96" s="141"/>
      <c r="D96" s="141"/>
      <c r="E96" s="111" t="str">
        <f>IF(Rechnen!$R$26=6,'Gruppen-Tabellen'!$B$27,"4. Gruppe C")</f>
        <v>4. Gruppe C</v>
      </c>
      <c r="F96" s="136" t="s">
        <v>7</v>
      </c>
      <c r="G96" s="112" t="str">
        <f>IF(Rechnen!$R$32=6,'Gruppen-Tabellen'!$B$33,"4. Gruppe D")</f>
        <v>4. Gruppe D</v>
      </c>
      <c r="H96" s="137">
        <v>1</v>
      </c>
      <c r="I96" s="138" t="s">
        <v>7</v>
      </c>
      <c r="J96" s="139">
        <v>0</v>
      </c>
    </row>
    <row r="97" spans="1:10" ht="12.75">
      <c r="A97" s="113"/>
      <c r="B97" s="114"/>
      <c r="C97" s="115"/>
      <c r="D97" s="115"/>
      <c r="E97" s="116" t="s">
        <v>46</v>
      </c>
      <c r="F97" s="116"/>
      <c r="G97" s="117" t="s">
        <v>48</v>
      </c>
      <c r="H97" s="150"/>
      <c r="I97" s="150"/>
      <c r="J97" s="150"/>
    </row>
    <row r="98" spans="1:10" ht="21" customHeight="1">
      <c r="A98" s="160" t="s">
        <v>76</v>
      </c>
      <c r="B98" s="161"/>
      <c r="C98" s="161"/>
      <c r="D98" s="161"/>
      <c r="E98" s="161"/>
      <c r="F98" s="161"/>
      <c r="G98" s="161"/>
      <c r="H98" s="106" t="s">
        <v>5</v>
      </c>
      <c r="I98" s="107"/>
      <c r="J98" s="107"/>
    </row>
    <row r="99" spans="1:10" s="140" customFormat="1" ht="21" customHeight="1">
      <c r="A99" s="135">
        <f>A96+Vorgaben!$D$3+Vorgaben!$D$5</f>
        <v>0.6875</v>
      </c>
      <c r="B99" s="118">
        <f>B96+1</f>
        <v>56</v>
      </c>
      <c r="C99" s="141"/>
      <c r="D99" s="141"/>
      <c r="E99" s="111" t="str">
        <f>IF(Rechnen!$R$26=6,'Gruppen-Tabellen'!$B$24,"1. Gruppe C")</f>
        <v>1. Gruppe C</v>
      </c>
      <c r="F99" s="136" t="s">
        <v>7</v>
      </c>
      <c r="G99" s="112" t="str">
        <f>IF(Rechnen!$R$32=6,'Gruppen-Tabellen'!$B$31,"2. Gruppe D")</f>
        <v>2. Gruppe D</v>
      </c>
      <c r="H99" s="137">
        <v>1</v>
      </c>
      <c r="I99" s="138" t="s">
        <v>7</v>
      </c>
      <c r="J99" s="139">
        <v>0</v>
      </c>
    </row>
    <row r="100" spans="1:10" ht="12.75">
      <c r="A100" s="113"/>
      <c r="B100" s="114"/>
      <c r="C100" s="115"/>
      <c r="D100" s="115"/>
      <c r="E100" s="116" t="s">
        <v>49</v>
      </c>
      <c r="F100" s="116"/>
      <c r="G100" s="117" t="s">
        <v>47</v>
      </c>
      <c r="H100" s="150"/>
      <c r="I100" s="150"/>
      <c r="J100" s="150"/>
    </row>
    <row r="101" spans="1:10" ht="21" customHeight="1">
      <c r="A101" s="160" t="s">
        <v>77</v>
      </c>
      <c r="B101" s="161"/>
      <c r="C101" s="161"/>
      <c r="D101" s="161"/>
      <c r="E101" s="161"/>
      <c r="F101" s="161"/>
      <c r="G101" s="161"/>
      <c r="H101" s="106" t="s">
        <v>5</v>
      </c>
      <c r="I101" s="107"/>
      <c r="J101" s="107"/>
    </row>
    <row r="102" spans="1:10" s="140" customFormat="1" ht="21" customHeight="1">
      <c r="A102" s="135">
        <f>A99+Vorgaben!$D$3+Vorgaben!$D$5</f>
        <v>0.6875</v>
      </c>
      <c r="B102" s="118">
        <f>B99+1</f>
        <v>57</v>
      </c>
      <c r="C102" s="141"/>
      <c r="D102" s="141"/>
      <c r="E102" s="111" t="str">
        <f>IF(Rechnen!$R$32=6,'Gruppen-Tabellen'!$B$30,"1. Gruppe D")</f>
        <v>1. Gruppe D</v>
      </c>
      <c r="F102" s="136" t="s">
        <v>7</v>
      </c>
      <c r="G102" s="112" t="str">
        <f>IF(Rechnen!$R$26=6,'Gruppen-Tabellen'!$B$25,"2. Gruppe C")</f>
        <v>2. Gruppe C</v>
      </c>
      <c r="H102" s="137">
        <v>1</v>
      </c>
      <c r="I102" s="138" t="s">
        <v>7</v>
      </c>
      <c r="J102" s="139">
        <v>0</v>
      </c>
    </row>
    <row r="103" spans="1:10" ht="12.75">
      <c r="A103" s="113"/>
      <c r="B103" s="114"/>
      <c r="C103" s="115"/>
      <c r="D103" s="115"/>
      <c r="E103" s="116" t="s">
        <v>51</v>
      </c>
      <c r="F103" s="116"/>
      <c r="G103" s="117" t="s">
        <v>45</v>
      </c>
      <c r="H103" s="150"/>
      <c r="I103" s="150"/>
      <c r="J103" s="150"/>
    </row>
    <row r="104" spans="1:10" ht="21" customHeight="1">
      <c r="A104" s="160" t="s">
        <v>78</v>
      </c>
      <c r="B104" s="161"/>
      <c r="C104" s="161"/>
      <c r="D104" s="161"/>
      <c r="E104" s="161"/>
      <c r="F104" s="161"/>
      <c r="G104" s="161"/>
      <c r="H104" s="106" t="s">
        <v>5</v>
      </c>
      <c r="I104" s="107"/>
      <c r="J104" s="107"/>
    </row>
    <row r="105" spans="1:10" s="140" customFormat="1" ht="21" customHeight="1">
      <c r="A105" s="135">
        <f>A102+Vorgaben!$D$3+Vorgaben!$D$5</f>
        <v>0.6875</v>
      </c>
      <c r="B105" s="118">
        <f>B102+1</f>
        <v>58</v>
      </c>
      <c r="C105" s="141"/>
      <c r="D105" s="141"/>
      <c r="E105" s="111" t="str">
        <f>IF(Rechnen!$R$26=6,'Gruppen-Tabellen'!$B$26,"3. Gruppe C")</f>
        <v>3. Gruppe C</v>
      </c>
      <c r="F105" s="136" t="s">
        <v>7</v>
      </c>
      <c r="G105" s="112" t="str">
        <f>IF(Rechnen!$R$32=6,'Gruppen-Tabellen'!$B$32,"3. Gruppe D")</f>
        <v>3. Gruppe D</v>
      </c>
      <c r="H105" s="137">
        <v>1</v>
      </c>
      <c r="I105" s="138" t="s">
        <v>7</v>
      </c>
      <c r="J105" s="139">
        <v>0</v>
      </c>
    </row>
    <row r="106" spans="1:10" ht="12.75">
      <c r="A106" s="113"/>
      <c r="B106" s="114"/>
      <c r="C106" s="115"/>
      <c r="D106" s="115"/>
      <c r="E106" s="116" t="s">
        <v>50</v>
      </c>
      <c r="F106" s="116"/>
      <c r="G106" s="117" t="s">
        <v>52</v>
      </c>
      <c r="H106" s="150"/>
      <c r="I106" s="150"/>
      <c r="J106" s="150"/>
    </row>
    <row r="107" spans="1:10" ht="21" customHeight="1">
      <c r="A107" s="160" t="s">
        <v>79</v>
      </c>
      <c r="B107" s="161"/>
      <c r="C107" s="161"/>
      <c r="D107" s="161"/>
      <c r="E107" s="161"/>
      <c r="F107" s="161"/>
      <c r="G107" s="161"/>
      <c r="H107" s="106" t="s">
        <v>5</v>
      </c>
      <c r="I107" s="107"/>
      <c r="J107" s="107"/>
    </row>
    <row r="108" spans="1:10" s="140" customFormat="1" ht="21" customHeight="1">
      <c r="A108" s="135">
        <f>A105+Vorgaben!$D$3+Vorgaben!$D$5</f>
        <v>0.6875</v>
      </c>
      <c r="B108" s="118">
        <f>B105+1</f>
        <v>59</v>
      </c>
      <c r="C108" s="141"/>
      <c r="D108" s="141"/>
      <c r="E108" s="142" t="str">
        <f>IF(OR(H99="",J99=""),"Verlierer (Spiel 56)",IF(H99&lt;J99,E99,IF(H99&gt;=J99,G99)))</f>
        <v>2. Gruppe D</v>
      </c>
      <c r="F108" s="143" t="s">
        <v>7</v>
      </c>
      <c r="G108" s="144" t="str">
        <f>IF(OR(H102="",J102=""),"Verlierer (Spiel 57)",IF(H102&lt;J102,E102,IF(H102&gt;=J102,G102)))</f>
        <v>2. Gruppe C</v>
      </c>
      <c r="H108" s="137">
        <v>0</v>
      </c>
      <c r="I108" s="138" t="s">
        <v>7</v>
      </c>
      <c r="J108" s="139">
        <v>1</v>
      </c>
    </row>
    <row r="109" spans="1:10" ht="12.75">
      <c r="A109" s="113"/>
      <c r="B109" s="114"/>
      <c r="C109" s="115"/>
      <c r="D109" s="115"/>
      <c r="E109" s="116" t="s">
        <v>55</v>
      </c>
      <c r="F109" s="116"/>
      <c r="G109" s="117" t="s">
        <v>56</v>
      </c>
      <c r="H109" s="150"/>
      <c r="I109" s="150"/>
      <c r="J109" s="150"/>
    </row>
    <row r="110" spans="1:10" ht="21" customHeight="1">
      <c r="A110" s="160" t="s">
        <v>44</v>
      </c>
      <c r="B110" s="161"/>
      <c r="C110" s="161"/>
      <c r="D110" s="161"/>
      <c r="E110" s="161"/>
      <c r="F110" s="161"/>
      <c r="G110" s="161"/>
      <c r="H110" s="106" t="s">
        <v>5</v>
      </c>
      <c r="I110" s="107"/>
      <c r="J110" s="107"/>
    </row>
    <row r="111" spans="1:10" s="140" customFormat="1" ht="21" customHeight="1">
      <c r="A111" s="135">
        <f>A108+Vorgaben!$D$3+Vorgaben!$D$5</f>
        <v>0.6875</v>
      </c>
      <c r="B111" s="118">
        <f>B108+1</f>
        <v>60</v>
      </c>
      <c r="C111" s="141"/>
      <c r="D111" s="141"/>
      <c r="E111" s="142" t="str">
        <f>IF(OR(H99="",J99=""),"Sieger (Spiel 56)",IF(H99&gt;J99,E99,IF(H99&lt;=J99,G99)))</f>
        <v>1. Gruppe C</v>
      </c>
      <c r="F111" s="143" t="s">
        <v>7</v>
      </c>
      <c r="G111" s="144" t="str">
        <f>IF(OR(H102="",J102=""),"Sieger (Spiel 57)",IF(H102&gt;J102,E102,IF(H102&lt;=J102,G102)))</f>
        <v>1. Gruppe D</v>
      </c>
      <c r="H111" s="137">
        <v>1</v>
      </c>
      <c r="I111" s="138" t="s">
        <v>7</v>
      </c>
      <c r="J111" s="139">
        <v>0</v>
      </c>
    </row>
    <row r="112" spans="1:10" ht="12.75">
      <c r="A112" s="113"/>
      <c r="B112" s="114"/>
      <c r="C112" s="115"/>
      <c r="D112" s="115"/>
      <c r="E112" s="116" t="s">
        <v>57</v>
      </c>
      <c r="F112" s="116"/>
      <c r="G112" s="117" t="s">
        <v>58</v>
      </c>
      <c r="H112" s="150"/>
      <c r="I112" s="150"/>
      <c r="J112" s="150"/>
    </row>
    <row r="113" spans="1:10" ht="12.75">
      <c r="A113" s="120"/>
      <c r="B113" s="119"/>
      <c r="C113" s="115"/>
      <c r="D113" s="115"/>
      <c r="E113" s="116"/>
      <c r="F113" s="116"/>
      <c r="G113" s="117"/>
      <c r="H113" s="150"/>
      <c r="I113" s="150"/>
      <c r="J113" s="150"/>
    </row>
    <row r="114" spans="1:10" ht="12.75">
      <c r="A114" s="101"/>
      <c r="B114" s="100"/>
      <c r="C114" s="102"/>
      <c r="D114" s="102"/>
      <c r="E114" s="100"/>
      <c r="F114" s="100"/>
      <c r="G114" s="100"/>
      <c r="H114" s="100"/>
      <c r="I114" s="100"/>
      <c r="J114" s="100"/>
    </row>
    <row r="115" spans="1:10" ht="15">
      <c r="A115" s="100"/>
      <c r="B115" s="121" t="s">
        <v>59</v>
      </c>
      <c r="C115" s="152" t="str">
        <f>IF(OR(H111="",J111=""),"Sieger Endspiel",IF(H111&gt;J111,E111,IF(H111&lt;=J111,G111)))</f>
        <v>1. Gruppe C</v>
      </c>
      <c r="D115" s="155"/>
      <c r="E115" s="155"/>
      <c r="F115" s="156"/>
      <c r="G115" s="122"/>
      <c r="H115" s="100"/>
      <c r="I115" s="102"/>
      <c r="J115" s="100"/>
    </row>
    <row r="116" spans="1:10" ht="15">
      <c r="A116" s="100"/>
      <c r="B116" s="121" t="s">
        <v>60</v>
      </c>
      <c r="C116" s="152" t="str">
        <f>IF(OR(H111="",J111=""),"Verlierer Endspiel",IF(H111&lt;J111,E111,IF(H111&gt;=J111,G111)))</f>
        <v>1. Gruppe D</v>
      </c>
      <c r="D116" s="155"/>
      <c r="E116" s="155"/>
      <c r="F116" s="156"/>
      <c r="G116" s="122"/>
      <c r="H116" s="100"/>
      <c r="I116" s="102"/>
      <c r="J116" s="100"/>
    </row>
    <row r="117" spans="1:10" ht="15">
      <c r="A117" s="100"/>
      <c r="B117" s="121" t="s">
        <v>61</v>
      </c>
      <c r="C117" s="152" t="str">
        <f>IF(OR(H108="",J108=""),"Sieger Spiel 59",IF(H108&gt;J108,E108,IF(H108&lt;=J108,G108)))</f>
        <v>2. Gruppe C</v>
      </c>
      <c r="D117" s="152"/>
      <c r="E117" s="152"/>
      <c r="F117" s="153"/>
      <c r="G117" s="122"/>
      <c r="H117" s="100"/>
      <c r="I117" s="102"/>
      <c r="J117" s="100"/>
    </row>
    <row r="118" spans="1:10" ht="15">
      <c r="A118" s="100"/>
      <c r="B118" s="121" t="s">
        <v>62</v>
      </c>
      <c r="C118" s="152" t="str">
        <f>IF(OR(H108="",J108=""),"Verlierer Spiel 59",IF(H108&lt;J108,E108,IF(H108&gt;=J108,G108)))</f>
        <v>2. Gruppe D</v>
      </c>
      <c r="D118" s="152"/>
      <c r="E118" s="152"/>
      <c r="F118" s="153"/>
      <c r="G118" s="122"/>
      <c r="H118" s="100"/>
      <c r="I118" s="102"/>
      <c r="J118" s="100"/>
    </row>
    <row r="119" spans="1:10" ht="15">
      <c r="A119" s="100"/>
      <c r="B119" s="121" t="s">
        <v>63</v>
      </c>
      <c r="C119" s="152" t="str">
        <f>IF(OR(H105="",J105=""),"Sieger Spiel 58",IF(H105&gt;J105,E105,IF(H105&lt;=J105,G105)))</f>
        <v>3. Gruppe C</v>
      </c>
      <c r="D119" s="152"/>
      <c r="E119" s="152"/>
      <c r="F119" s="153"/>
      <c r="G119" s="122"/>
      <c r="H119" s="100"/>
      <c r="I119" s="102"/>
      <c r="J119" s="100"/>
    </row>
    <row r="120" spans="1:10" ht="15">
      <c r="A120" s="100"/>
      <c r="B120" s="121" t="s">
        <v>64</v>
      </c>
      <c r="C120" s="152" t="str">
        <f>IF(OR(H105="",J105=""),"Verlierer Spiel 58",IF(H105&lt;J105,E105,IF(H105&gt;=J105,G105)))</f>
        <v>3. Gruppe D</v>
      </c>
      <c r="D120" s="152"/>
      <c r="E120" s="152"/>
      <c r="F120" s="153"/>
      <c r="G120" s="122"/>
      <c r="H120" s="100"/>
      <c r="I120" s="102"/>
      <c r="J120" s="100"/>
    </row>
    <row r="121" spans="1:10" ht="15">
      <c r="A121" s="100"/>
      <c r="B121" s="121" t="s">
        <v>65</v>
      </c>
      <c r="C121" s="152" t="str">
        <f>IF(OR(H96="",J96=""),"Sieger Spiel 56",IF(H96&gt;J96,E96,IF(H96&lt;=J96,G96)))</f>
        <v>4. Gruppe C</v>
      </c>
      <c r="D121" s="152"/>
      <c r="E121" s="152"/>
      <c r="F121" s="153"/>
      <c r="G121" s="122"/>
      <c r="H121" s="100"/>
      <c r="I121" s="102"/>
      <c r="J121" s="100"/>
    </row>
    <row r="122" spans="1:10" ht="15">
      <c r="A122" s="100"/>
      <c r="B122" s="121" t="s">
        <v>66</v>
      </c>
      <c r="C122" s="152" t="str">
        <f>IF(OR(H96="",J96=""),"Verlierer Spiel 56",IF(H96&lt;J96,E96,IF(H96&gt;=J96,G96)))</f>
        <v>4. Gruppe D</v>
      </c>
      <c r="D122" s="152"/>
      <c r="E122" s="152"/>
      <c r="F122" s="153"/>
      <c r="G122" s="122"/>
      <c r="H122" s="100"/>
      <c r="I122" s="102"/>
      <c r="J122" s="100"/>
    </row>
  </sheetData>
  <sheetProtection password="E760" sheet="1" objects="1" scenarios="1"/>
  <mergeCells count="131">
    <mergeCell ref="A10:D10"/>
    <mergeCell ref="C16:D16"/>
    <mergeCell ref="C17:D17"/>
    <mergeCell ref="C61:D61"/>
    <mergeCell ref="C28:D28"/>
    <mergeCell ref="C54:D54"/>
    <mergeCell ref="C46:D46"/>
    <mergeCell ref="C48:D48"/>
    <mergeCell ref="C18:D18"/>
    <mergeCell ref="C25:D25"/>
    <mergeCell ref="C30:D30"/>
    <mergeCell ref="C63:D63"/>
    <mergeCell ref="C35:D35"/>
    <mergeCell ref="C45:D45"/>
    <mergeCell ref="C55:D55"/>
    <mergeCell ref="C56:D56"/>
    <mergeCell ref="C62:D62"/>
    <mergeCell ref="G2:H2"/>
    <mergeCell ref="G3:H3"/>
    <mergeCell ref="A6:D6"/>
    <mergeCell ref="G1:H1"/>
    <mergeCell ref="G4:H4"/>
    <mergeCell ref="G5:H5"/>
    <mergeCell ref="G6:H6"/>
    <mergeCell ref="A4:D4"/>
    <mergeCell ref="A5:D5"/>
    <mergeCell ref="C13:D13"/>
    <mergeCell ref="C24:D24"/>
    <mergeCell ref="A1:D1"/>
    <mergeCell ref="A2:D2"/>
    <mergeCell ref="A3:D3"/>
    <mergeCell ref="C14:D14"/>
    <mergeCell ref="C20:D20"/>
    <mergeCell ref="A9:D9"/>
    <mergeCell ref="C21:D21"/>
    <mergeCell ref="A8:D8"/>
    <mergeCell ref="G7:H7"/>
    <mergeCell ref="C49:D49"/>
    <mergeCell ref="C27:D27"/>
    <mergeCell ref="C19:D19"/>
    <mergeCell ref="G8:H8"/>
    <mergeCell ref="H12:J12"/>
    <mergeCell ref="C39:D39"/>
    <mergeCell ref="C26:D26"/>
    <mergeCell ref="C12:D12"/>
    <mergeCell ref="C29:D29"/>
    <mergeCell ref="A73:D73"/>
    <mergeCell ref="G73:H73"/>
    <mergeCell ref="A7:D7"/>
    <mergeCell ref="C57:D57"/>
    <mergeCell ref="C41:D41"/>
    <mergeCell ref="C34:D34"/>
    <mergeCell ref="C47:D47"/>
    <mergeCell ref="C23:D23"/>
    <mergeCell ref="C32:D32"/>
    <mergeCell ref="C52:D52"/>
    <mergeCell ref="C51:D51"/>
    <mergeCell ref="C31:D31"/>
    <mergeCell ref="C67:D67"/>
    <mergeCell ref="C44:D44"/>
    <mergeCell ref="C65:D65"/>
    <mergeCell ref="C59:D59"/>
    <mergeCell ref="C60:D60"/>
    <mergeCell ref="C66:D66"/>
    <mergeCell ref="C37:D37"/>
    <mergeCell ref="C40:D40"/>
    <mergeCell ref="C38:D38"/>
    <mergeCell ref="C53:D53"/>
    <mergeCell ref="C22:D22"/>
    <mergeCell ref="C36:D36"/>
    <mergeCell ref="C15:D15"/>
    <mergeCell ref="A74:D74"/>
    <mergeCell ref="C64:D64"/>
    <mergeCell ref="C33:D33"/>
    <mergeCell ref="A71:D71"/>
    <mergeCell ref="A72:D72"/>
    <mergeCell ref="G74:H74"/>
    <mergeCell ref="C43:D43"/>
    <mergeCell ref="C58:D58"/>
    <mergeCell ref="C42:D42"/>
    <mergeCell ref="G72:H72"/>
    <mergeCell ref="A75:D75"/>
    <mergeCell ref="G75:H75"/>
    <mergeCell ref="C50:D50"/>
    <mergeCell ref="C68:D68"/>
    <mergeCell ref="C69:D69"/>
    <mergeCell ref="A76:D76"/>
    <mergeCell ref="G76:H76"/>
    <mergeCell ref="A77:D77"/>
    <mergeCell ref="G77:H77"/>
    <mergeCell ref="A78:D78"/>
    <mergeCell ref="G78:H78"/>
    <mergeCell ref="A79:D79"/>
    <mergeCell ref="G79:H79"/>
    <mergeCell ref="C86:D86"/>
    <mergeCell ref="C85:D85"/>
    <mergeCell ref="C88:D88"/>
    <mergeCell ref="C89:D89"/>
    <mergeCell ref="C90:D90"/>
    <mergeCell ref="C82:D82"/>
    <mergeCell ref="C84:D84"/>
    <mergeCell ref="C83:D83"/>
    <mergeCell ref="C87:D87"/>
    <mergeCell ref="A107:G107"/>
    <mergeCell ref="A110:G110"/>
    <mergeCell ref="H97:J97"/>
    <mergeCell ref="H100:J100"/>
    <mergeCell ref="H103:J103"/>
    <mergeCell ref="C91:D91"/>
    <mergeCell ref="C92:D92"/>
    <mergeCell ref="C93:D93"/>
    <mergeCell ref="H112:J112"/>
    <mergeCell ref="C115:F115"/>
    <mergeCell ref="H109:J109"/>
    <mergeCell ref="G71:H71"/>
    <mergeCell ref="A94:G94"/>
    <mergeCell ref="A95:G95"/>
    <mergeCell ref="A98:G98"/>
    <mergeCell ref="A101:G101"/>
    <mergeCell ref="A104:G104"/>
    <mergeCell ref="H106:J106"/>
    <mergeCell ref="H113:J113"/>
    <mergeCell ref="A70:H70"/>
    <mergeCell ref="C119:F119"/>
    <mergeCell ref="C120:F120"/>
    <mergeCell ref="C121:F121"/>
    <mergeCell ref="C122:F122"/>
    <mergeCell ref="C81:D81"/>
    <mergeCell ref="C116:F116"/>
    <mergeCell ref="C117:F117"/>
    <mergeCell ref="C118:F118"/>
  </mergeCells>
  <printOptions/>
  <pageMargins left="0.3937007874015748" right="0.2362204724409449" top="1.3385826771653544" bottom="0.7086614173228347" header="0.31496062992125984" footer="0.11811023622047245"/>
  <pageSetup horizontalDpi="300" verticalDpi="300" orientation="portrait" paperSize="9" r:id="rId2"/>
  <headerFooter alignWithMargins="0">
    <oddHeader>&amp;C&amp;"Arial,Fett Kursiv"&amp;16 &amp;E7-Meter Turnier
Bergli-Hexen Riedböhringen</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O33"/>
  <sheetViews>
    <sheetView zoomScalePageLayoutView="0" workbookViewId="0" topLeftCell="A1">
      <selection activeCell="A12" sqref="A12"/>
    </sheetView>
  </sheetViews>
  <sheetFormatPr defaultColWidth="11.421875" defaultRowHeight="12.75"/>
  <cols>
    <col min="1" max="1" width="6.8515625" style="37" customWidth="1"/>
    <col min="2" max="2" width="38.140625" style="31" customWidth="1"/>
    <col min="3" max="4" width="8.7109375" style="31" customWidth="1"/>
    <col min="5" max="5" width="6.7109375" style="31" customWidth="1"/>
    <col min="6" max="6" width="2.140625" style="31" customWidth="1"/>
    <col min="7" max="7" width="6.7109375" style="31" customWidth="1"/>
    <col min="8" max="8" width="5.7109375" style="31" customWidth="1"/>
    <col min="9" max="9" width="2.421875" style="32" customWidth="1"/>
    <col min="10" max="10" width="38.28125" style="31" customWidth="1"/>
    <col min="11" max="11" width="6.140625" style="31" customWidth="1"/>
    <col min="12" max="12" width="5.421875" style="32" customWidth="1"/>
    <col min="13" max="13" width="2.421875" style="31" customWidth="1"/>
    <col min="14" max="14" width="5.421875" style="31" customWidth="1"/>
    <col min="15" max="15" width="5.7109375" style="31" customWidth="1"/>
  </cols>
  <sheetData>
    <row r="1" spans="1:15" ht="27" customHeight="1">
      <c r="A1" s="26"/>
      <c r="B1" s="197" t="s">
        <v>80</v>
      </c>
      <c r="C1" s="198"/>
      <c r="D1" s="198"/>
      <c r="E1" s="198"/>
      <c r="F1" s="198"/>
      <c r="G1" s="198"/>
      <c r="H1" s="198"/>
      <c r="I1" s="27"/>
      <c r="J1" s="27"/>
      <c r="K1" s="27"/>
      <c r="L1" s="27"/>
      <c r="M1" s="27"/>
      <c r="N1" s="27"/>
      <c r="O1" s="27"/>
    </row>
    <row r="2" spans="1:9" ht="30" customHeight="1">
      <c r="A2" s="61" t="s">
        <v>23</v>
      </c>
      <c r="B2" s="28" t="s">
        <v>33</v>
      </c>
      <c r="C2" s="29" t="s">
        <v>15</v>
      </c>
      <c r="D2" s="28" t="s">
        <v>0</v>
      </c>
      <c r="E2" s="189" t="s">
        <v>1</v>
      </c>
      <c r="F2" s="189"/>
      <c r="G2" s="189"/>
      <c r="H2" s="28" t="s">
        <v>16</v>
      </c>
      <c r="I2" s="30"/>
    </row>
    <row r="3" spans="1:15" s="60" customFormat="1" ht="18" customHeight="1">
      <c r="A3" s="33">
        <f>IF(Rechnen!$R$3=0,"",1)</f>
      </c>
      <c r="B3" s="59" t="str">
        <f>Rechnen!K9</f>
        <v>Dr. E. Eschbach</v>
      </c>
      <c r="C3" s="59">
        <f>IF(Rechnen!$R$3=0,"",Rechnen!L9)</f>
      </c>
      <c r="D3" s="59">
        <f>IF(Rechnen!$R$3=0,"",Rechnen!M9)</f>
      </c>
      <c r="E3" s="59">
        <f>IF(Rechnen!$R$3=0,"",Rechnen!N9)</f>
      </c>
      <c r="F3" s="34" t="s">
        <v>7</v>
      </c>
      <c r="G3" s="59">
        <f>IF(Rechnen!$R$3=0,"",Rechnen!P9)</f>
      </c>
      <c r="H3" s="35">
        <f aca="true" t="shared" si="0" ref="H3:H11">IF(AND(E3="",G3=""),"",(E3-G3))</f>
      </c>
      <c r="I3" s="36"/>
      <c r="J3" s="31"/>
      <c r="K3" s="31"/>
      <c r="L3" s="32"/>
      <c r="M3" s="31"/>
      <c r="N3" s="31"/>
      <c r="O3" s="31"/>
    </row>
    <row r="4" spans="1:15" s="60" customFormat="1" ht="18" customHeight="1">
      <c r="A4" s="33">
        <f>IF(Rechnen!$R$3=0,"",2)</f>
      </c>
      <c r="B4" s="59" t="str">
        <f>Rechnen!K7</f>
        <v>C. Müller</v>
      </c>
      <c r="C4" s="59">
        <f>IF(Rechnen!$R$3=0,"",Rechnen!L7)</f>
      </c>
      <c r="D4" s="59">
        <f>IF(Rechnen!$R$3=0,"",Rechnen!M7)</f>
      </c>
      <c r="E4" s="59">
        <f>IF(Rechnen!$R$3=0,"",Rechnen!N7)</f>
      </c>
      <c r="F4" s="34" t="s">
        <v>7</v>
      </c>
      <c r="G4" s="59">
        <f>IF(Rechnen!$R$3=0,"",Rechnen!P7)</f>
      </c>
      <c r="H4" s="35">
        <f t="shared" si="0"/>
      </c>
      <c r="I4" s="36"/>
      <c r="J4" s="31"/>
      <c r="K4" s="31"/>
      <c r="L4" s="32"/>
      <c r="M4" s="31"/>
      <c r="N4" s="31"/>
      <c r="O4" s="31"/>
    </row>
    <row r="5" spans="1:15" s="60" customFormat="1" ht="18" customHeight="1">
      <c r="A5" s="33">
        <f>IF(Rechnen!$R$3=0,"",3)</f>
      </c>
      <c r="B5" s="59" t="str">
        <f>Rechnen!K3</f>
        <v>M. Maart</v>
      </c>
      <c r="C5" s="59">
        <f>IF(Rechnen!$R$3=0,"",Rechnen!L3)</f>
      </c>
      <c r="D5" s="59">
        <f>IF(Rechnen!$R$3=0,"",Rechnen!M3)</f>
      </c>
      <c r="E5" s="59">
        <f>IF(Rechnen!$R$3=0,"",Rechnen!N3)</f>
      </c>
      <c r="F5" s="34" t="s">
        <v>7</v>
      </c>
      <c r="G5" s="59">
        <f>IF(Rechnen!$R$3=0,"",Rechnen!P3)</f>
      </c>
      <c r="H5" s="35">
        <f t="shared" si="0"/>
      </c>
      <c r="I5" s="36"/>
      <c r="J5" s="31"/>
      <c r="K5" s="31"/>
      <c r="L5" s="32"/>
      <c r="M5" s="31"/>
      <c r="N5" s="31"/>
      <c r="O5" s="31"/>
    </row>
    <row r="6" spans="1:15" s="60" customFormat="1" ht="18" customHeight="1">
      <c r="A6" s="33">
        <f>IF(Rechnen!$R$3=0,"",4)</f>
      </c>
      <c r="B6" s="59" t="str">
        <f>Rechnen!K8</f>
        <v>D. Rehbock</v>
      </c>
      <c r="C6" s="59">
        <f>IF(Rechnen!$R$3=0,"",Rechnen!L8)</f>
      </c>
      <c r="D6" s="59">
        <f>IF(Rechnen!$R$3=0,"",Rechnen!M8)</f>
      </c>
      <c r="E6" s="59">
        <f>IF(Rechnen!$R$3=0,"",Rechnen!N8)</f>
      </c>
      <c r="F6" s="34" t="s">
        <v>7</v>
      </c>
      <c r="G6" s="59">
        <f>IF(Rechnen!$R$3=0,"",Rechnen!P8)</f>
      </c>
      <c r="H6" s="35">
        <f t="shared" si="0"/>
      </c>
      <c r="I6" s="36"/>
      <c r="J6" s="31"/>
      <c r="K6" s="31"/>
      <c r="L6" s="32"/>
      <c r="M6" s="31"/>
      <c r="N6" s="31"/>
      <c r="O6" s="31"/>
    </row>
    <row r="7" spans="1:15" s="60" customFormat="1" ht="18" customHeight="1">
      <c r="A7" s="33">
        <f>IF(Rechnen!$R$3=0,"",5)</f>
      </c>
      <c r="B7" s="59" t="str">
        <f>Rechnen!K6</f>
        <v>T. Pochadt</v>
      </c>
      <c r="C7" s="59">
        <f>IF(Rechnen!$R$3=0,"",Rechnen!L6)</f>
      </c>
      <c r="D7" s="59">
        <f>IF(Rechnen!$R$3=0,"",Rechnen!M6)</f>
      </c>
      <c r="E7" s="59">
        <f>IF(Rechnen!$R$3=0,"",Rechnen!N6)</f>
      </c>
      <c r="F7" s="34" t="s">
        <v>7</v>
      </c>
      <c r="G7" s="59">
        <f>IF(Rechnen!$R$3=0,"",Rechnen!P6)</f>
      </c>
      <c r="H7" s="35">
        <f t="shared" si="0"/>
      </c>
      <c r="I7" s="41"/>
      <c r="J7" s="39"/>
      <c r="K7" s="41"/>
      <c r="L7" s="38"/>
      <c r="M7" s="39"/>
      <c r="N7" s="40"/>
      <c r="O7" s="40"/>
    </row>
    <row r="8" spans="1:15" s="60" customFormat="1" ht="18" customHeight="1">
      <c r="A8" s="33">
        <f>IF(Rechnen!$R$3=0,"",6)</f>
      </c>
      <c r="B8" s="59" t="str">
        <f>Rechnen!K4</f>
        <v>T. Scheithauer</v>
      </c>
      <c r="C8" s="59">
        <f>IF(Rechnen!$R$3=0,"",Rechnen!L4)</f>
      </c>
      <c r="D8" s="59">
        <f>IF(Rechnen!$R$3=0,"",Rechnen!M4)</f>
      </c>
      <c r="E8" s="59">
        <f>IF(Rechnen!$R$3=0,"",Rechnen!N4)</f>
      </c>
      <c r="F8" s="34" t="s">
        <v>7</v>
      </c>
      <c r="G8" s="59">
        <f>IF(Rechnen!$R$3=0,"",Rechnen!P4)</f>
      </c>
      <c r="H8" s="35">
        <f t="shared" si="0"/>
      </c>
      <c r="I8" s="42"/>
      <c r="J8" s="43"/>
      <c r="K8" s="43"/>
      <c r="L8" s="43"/>
      <c r="M8" s="43"/>
      <c r="N8" s="43"/>
      <c r="O8" s="43"/>
    </row>
    <row r="9" spans="1:15" s="60" customFormat="1" ht="18" customHeight="1">
      <c r="A9" s="33">
        <f>IF(Rechnen!$R$3=0,"",7)</f>
      </c>
      <c r="B9" s="59" t="str">
        <f>Rechnen!K5</f>
        <v>A. Langkamp</v>
      </c>
      <c r="C9" s="59">
        <f>IF(Rechnen!$R$3=0,"",Rechnen!L5)</f>
      </c>
      <c r="D9" s="59">
        <f>IF(Rechnen!$R$3=0,"",Rechnen!M5)</f>
      </c>
      <c r="E9" s="59">
        <f>IF(Rechnen!$R$3=0,"",Rechnen!N5)</f>
      </c>
      <c r="F9" s="34" t="s">
        <v>7</v>
      </c>
      <c r="G9" s="59">
        <f>IF(Rechnen!$R$3=0,"",Rechnen!P5)</f>
      </c>
      <c r="H9" s="35">
        <f t="shared" si="0"/>
      </c>
      <c r="I9" s="32"/>
      <c r="J9" s="31"/>
      <c r="K9" s="31"/>
      <c r="L9" s="32"/>
      <c r="M9" s="31"/>
      <c r="N9" s="31"/>
      <c r="O9" s="31"/>
    </row>
    <row r="10" spans="1:15" s="60" customFormat="1" ht="18" customHeight="1" hidden="1">
      <c r="A10" s="33">
        <f>IF(Rechnen!$R$3=0,"",8)</f>
      </c>
      <c r="B10" s="59">
        <f>Rechnen!K10</f>
        <v>0</v>
      </c>
      <c r="C10" s="59">
        <f>IF(Rechnen!$R$3=0,"",Rechnen!L10)</f>
      </c>
      <c r="D10" s="59">
        <f>IF(Rechnen!$R$3=0,"",Rechnen!M10)</f>
      </c>
      <c r="E10" s="59">
        <f>IF(Rechnen!$R$3=0,"",Rechnen!N10)</f>
      </c>
      <c r="F10" s="34" t="s">
        <v>7</v>
      </c>
      <c r="G10" s="59">
        <f>IF(Rechnen!$R$3=0,"",Rechnen!P10)</f>
      </c>
      <c r="H10" s="35">
        <f t="shared" si="0"/>
      </c>
      <c r="I10" s="37"/>
      <c r="J10" s="31"/>
      <c r="K10" s="31"/>
      <c r="L10" s="32"/>
      <c r="M10" s="31"/>
      <c r="N10" s="31"/>
      <c r="O10" s="31"/>
    </row>
    <row r="11" spans="1:15" s="60" customFormat="1" ht="18" customHeight="1" hidden="1">
      <c r="A11" s="33">
        <f>IF(Rechnen!$R$3=0,"",9)</f>
      </c>
      <c r="B11" s="59">
        <f>Rechnen!K11</f>
        <v>0</v>
      </c>
      <c r="C11" s="59">
        <f>IF(Rechnen!$R$3=0,"",Rechnen!L11)</f>
      </c>
      <c r="D11" s="59">
        <f>IF(Rechnen!$R$3=0,"",Rechnen!M11)</f>
      </c>
      <c r="E11" s="59">
        <f>IF(Rechnen!$R$3=0,"",Rechnen!N11)</f>
      </c>
      <c r="F11" s="34" t="s">
        <v>7</v>
      </c>
      <c r="G11" s="59">
        <f>IF(Rechnen!$R$3=0,"",Rechnen!P11)</f>
      </c>
      <c r="H11" s="35">
        <f t="shared" si="0"/>
      </c>
      <c r="I11" s="32"/>
      <c r="J11" s="31"/>
      <c r="K11" s="31"/>
      <c r="L11" s="32"/>
      <c r="M11" s="31"/>
      <c r="N11" s="31"/>
      <c r="O11" s="31"/>
    </row>
    <row r="12" spans="1:15" ht="31.5" customHeight="1">
      <c r="A12" s="61"/>
      <c r="B12" s="195"/>
      <c r="C12" s="196"/>
      <c r="D12" s="196"/>
      <c r="E12" s="196"/>
      <c r="F12" s="196"/>
      <c r="G12" s="196"/>
      <c r="H12" s="196"/>
      <c r="I12" s="27"/>
      <c r="J12" s="27"/>
      <c r="K12" s="27"/>
      <c r="L12" s="27"/>
      <c r="M12" s="27"/>
      <c r="N12" s="27"/>
      <c r="O12" s="27"/>
    </row>
    <row r="13" spans="1:8" ht="18" customHeight="1">
      <c r="A13" s="190" t="s">
        <v>23</v>
      </c>
      <c r="B13" s="189" t="s">
        <v>32</v>
      </c>
      <c r="C13" s="193" t="s">
        <v>15</v>
      </c>
      <c r="D13" s="189" t="s">
        <v>0</v>
      </c>
      <c r="E13" s="189" t="s">
        <v>1</v>
      </c>
      <c r="F13" s="189"/>
      <c r="G13" s="189"/>
      <c r="H13" s="189" t="s">
        <v>16</v>
      </c>
    </row>
    <row r="14" spans="1:8" ht="15" customHeight="1">
      <c r="A14" s="191"/>
      <c r="B14" s="192"/>
      <c r="C14" s="194"/>
      <c r="D14" s="192"/>
      <c r="E14" s="192"/>
      <c r="F14" s="192"/>
      <c r="G14" s="192"/>
      <c r="H14" s="192"/>
    </row>
    <row r="15" spans="1:15" s="60" customFormat="1" ht="15">
      <c r="A15" s="33">
        <f>IF(Rechnen!$R$17=0,"",1)</f>
        <v>1</v>
      </c>
      <c r="B15" s="59" t="str">
        <f>Rechnen!K21</f>
        <v>A. Wenzel</v>
      </c>
      <c r="C15" s="59">
        <f>IF(Rechnen!$R$17=0,"",Rechnen!L21)</f>
        <v>1</v>
      </c>
      <c r="D15" s="59">
        <f>IF(Rechnen!$R$17=0,"",Rechnen!M21)</f>
        <v>0</v>
      </c>
      <c r="E15" s="59">
        <f>IF(Rechnen!$R$17=0,"",Rechnen!N21)</f>
        <v>0</v>
      </c>
      <c r="F15" s="34" t="s">
        <v>7</v>
      </c>
      <c r="G15" s="59">
        <f>IF(Rechnen!$R$17=0,"",Rechnen!P21)</f>
        <v>1</v>
      </c>
      <c r="H15" s="35">
        <f aca="true" t="shared" si="1" ref="H15:H21">IF(AND(E15="",G15=""),"",(E15-G15))</f>
        <v>-1</v>
      </c>
      <c r="I15" s="32"/>
      <c r="J15" s="31"/>
      <c r="K15" s="31"/>
      <c r="L15" s="32"/>
      <c r="M15" s="31"/>
      <c r="N15" s="31"/>
      <c r="O15" s="31"/>
    </row>
    <row r="16" spans="1:15" s="60" customFormat="1" ht="15">
      <c r="A16" s="33">
        <f>IF(Rechnen!$R$17=0,"",2)</f>
        <v>2</v>
      </c>
      <c r="B16" s="59" t="str">
        <f>Rechnen!K19</f>
        <v>J. Meyer</v>
      </c>
      <c r="C16" s="59">
        <f>IF(Rechnen!$R$17=0,"",Rechnen!L19)</f>
        <v>1</v>
      </c>
      <c r="D16" s="59">
        <f>IF(Rechnen!$R$17=0,"",Rechnen!M19)</f>
        <v>0</v>
      </c>
      <c r="E16" s="59">
        <f>IF(Rechnen!$R$17=0,"",Rechnen!N19)</f>
        <v>0</v>
      </c>
      <c r="F16" s="34" t="s">
        <v>7</v>
      </c>
      <c r="G16" s="59">
        <f>IF(Rechnen!$R$17=0,"",Rechnen!P19)</f>
        <v>1</v>
      </c>
      <c r="H16" s="35">
        <f t="shared" si="1"/>
        <v>-1</v>
      </c>
      <c r="I16" s="32"/>
      <c r="J16" s="31"/>
      <c r="K16" s="31"/>
      <c r="L16" s="32"/>
      <c r="M16" s="31"/>
      <c r="N16" s="31"/>
      <c r="O16" s="31"/>
    </row>
    <row r="17" spans="1:15" s="60" customFormat="1" ht="15">
      <c r="A17" s="33">
        <f>IF(Rechnen!$R$17=0,"",3)</f>
        <v>3</v>
      </c>
      <c r="B17" s="59" t="str">
        <f>Rechnen!K17</f>
        <v>T. Büchner</v>
      </c>
      <c r="C17" s="59">
        <f>IF(Rechnen!$R$17=0,"",Rechnen!L17)</f>
        <v>1</v>
      </c>
      <c r="D17" s="59">
        <f>IF(Rechnen!$R$17=0,"",Rechnen!M17)</f>
        <v>0</v>
      </c>
      <c r="E17" s="59">
        <f>IF(Rechnen!$R$17=0,"",Rechnen!N17)</f>
        <v>0</v>
      </c>
      <c r="F17" s="34" t="s">
        <v>7</v>
      </c>
      <c r="G17" s="59">
        <f>IF(Rechnen!$R$17=0,"",Rechnen!P17)</f>
        <v>1</v>
      </c>
      <c r="H17" s="35">
        <f t="shared" si="1"/>
        <v>-1</v>
      </c>
      <c r="I17" s="32"/>
      <c r="J17" s="31"/>
      <c r="K17" s="31"/>
      <c r="L17" s="32"/>
      <c r="M17" s="31"/>
      <c r="N17" s="31"/>
      <c r="O17" s="31"/>
    </row>
    <row r="18" spans="1:15" s="60" customFormat="1" ht="15">
      <c r="A18" s="33">
        <f>IF(Rechnen!$R$17=0,"",4)</f>
        <v>4</v>
      </c>
      <c r="B18" s="59" t="str">
        <f>Rechnen!K20</f>
        <v>M. Hintze</v>
      </c>
      <c r="C18" s="59">
        <f>IF(Rechnen!$R$17=0,"",Rechnen!L20)</f>
        <v>1</v>
      </c>
      <c r="D18" s="59">
        <f>IF(Rechnen!$R$17=0,"",Rechnen!M20)</f>
        <v>0</v>
      </c>
      <c r="E18" s="59">
        <f>IF(Rechnen!$R$17=0,"",Rechnen!N20)</f>
        <v>0</v>
      </c>
      <c r="F18" s="34" t="s">
        <v>7</v>
      </c>
      <c r="G18" s="59">
        <f>IF(Rechnen!$R$17=0,"",Rechnen!P20)</f>
        <v>1</v>
      </c>
      <c r="H18" s="35">
        <f t="shared" si="1"/>
        <v>-1</v>
      </c>
      <c r="I18" s="32"/>
      <c r="J18" s="31"/>
      <c r="K18" s="31"/>
      <c r="L18" s="32"/>
      <c r="M18" s="31"/>
      <c r="N18" s="31"/>
      <c r="O18" s="31"/>
    </row>
    <row r="19" spans="1:15" s="60" customFormat="1" ht="15">
      <c r="A19" s="33">
        <f>IF(Rechnen!$R$17=0,"",5)</f>
        <v>5</v>
      </c>
      <c r="B19" s="59" t="str">
        <f>Rechnen!K18</f>
        <v>R. Breitenstein</v>
      </c>
      <c r="C19" s="59">
        <f>IF(Rechnen!$R$17=0,"",Rechnen!L18)</f>
        <v>1</v>
      </c>
      <c r="D19" s="59">
        <f>IF(Rechnen!$R$17=0,"",Rechnen!M18)</f>
        <v>0</v>
      </c>
      <c r="E19" s="59">
        <f>IF(Rechnen!$R$17=0,"",Rechnen!N18)</f>
        <v>0</v>
      </c>
      <c r="F19" s="34" t="s">
        <v>7</v>
      </c>
      <c r="G19" s="59">
        <f>IF(Rechnen!$R$17=0,"",Rechnen!P18)</f>
        <v>1</v>
      </c>
      <c r="H19" s="35">
        <f t="shared" si="1"/>
        <v>-1</v>
      </c>
      <c r="I19" s="32"/>
      <c r="J19" s="31"/>
      <c r="K19" s="31"/>
      <c r="L19" s="32"/>
      <c r="M19" s="31"/>
      <c r="N19" s="31"/>
      <c r="O19" s="31"/>
    </row>
    <row r="20" spans="1:15" s="60" customFormat="1" ht="15">
      <c r="A20" s="33">
        <f>IF(Rechnen!$R$17=0,"",6)</f>
        <v>6</v>
      </c>
      <c r="B20" s="59" t="str">
        <f>Rechnen!K23</f>
        <v>R. Adamowski</v>
      </c>
      <c r="C20" s="59">
        <f>IF(Rechnen!$R$17=0,"",Rechnen!L23)</f>
        <v>6</v>
      </c>
      <c r="D20" s="59">
        <f>IF(Rechnen!$R$17=0,"",Rechnen!M23)</f>
        <v>18</v>
      </c>
      <c r="E20" s="59">
        <f>IF(Rechnen!$R$17=0,"",Rechnen!N23)</f>
        <v>6</v>
      </c>
      <c r="F20" s="34" t="s">
        <v>7</v>
      </c>
      <c r="G20" s="59">
        <f>IF(Rechnen!$R$17=0,"",Rechnen!P23)</f>
        <v>0</v>
      </c>
      <c r="H20" s="35">
        <f t="shared" si="1"/>
        <v>6</v>
      </c>
      <c r="I20" s="32"/>
      <c r="J20" s="31"/>
      <c r="K20" s="31"/>
      <c r="L20" s="32"/>
      <c r="M20" s="31"/>
      <c r="N20" s="31"/>
      <c r="O20" s="31"/>
    </row>
    <row r="21" spans="1:15" s="60" customFormat="1" ht="15">
      <c r="A21" s="33">
        <f>IF(Rechnen!$R$17=0,"",7)</f>
        <v>7</v>
      </c>
      <c r="B21" s="59" t="str">
        <f>Rechnen!K22</f>
        <v>A. Staeder</v>
      </c>
      <c r="C21" s="59">
        <f>IF(Rechnen!$R$17=0,"",Rechnen!L22)</f>
        <v>1</v>
      </c>
      <c r="D21" s="59">
        <f>IF(Rechnen!$R$17=0,"",Rechnen!M22)</f>
        <v>0</v>
      </c>
      <c r="E21" s="59">
        <f>IF(Rechnen!$R$17=0,"",Rechnen!N22)</f>
        <v>0</v>
      </c>
      <c r="F21" s="34" t="s">
        <v>7</v>
      </c>
      <c r="G21" s="59">
        <f>IF(Rechnen!$R$17=0,"",Rechnen!P22)</f>
        <v>1</v>
      </c>
      <c r="H21" s="35">
        <f t="shared" si="1"/>
        <v>-1</v>
      </c>
      <c r="I21" s="32"/>
      <c r="J21" s="31"/>
      <c r="K21" s="31"/>
      <c r="L21" s="32"/>
      <c r="M21" s="31"/>
      <c r="N21" s="31"/>
      <c r="O21" s="31"/>
    </row>
    <row r="22" spans="1:8" ht="43.5" customHeight="1">
      <c r="A22" s="26"/>
      <c r="B22" s="187" t="s">
        <v>81</v>
      </c>
      <c r="C22" s="188"/>
      <c r="D22" s="188"/>
      <c r="E22" s="188"/>
      <c r="F22" s="188"/>
      <c r="G22" s="188"/>
      <c r="H22" s="188"/>
    </row>
    <row r="23" spans="1:8" ht="15">
      <c r="A23" s="61" t="s">
        <v>23</v>
      </c>
      <c r="B23" s="28" t="s">
        <v>67</v>
      </c>
      <c r="C23" s="29" t="s">
        <v>15</v>
      </c>
      <c r="D23" s="28" t="s">
        <v>0</v>
      </c>
      <c r="E23" s="189" t="s">
        <v>1</v>
      </c>
      <c r="F23" s="189"/>
      <c r="G23" s="189"/>
      <c r="H23" s="28" t="s">
        <v>16</v>
      </c>
    </row>
    <row r="24" spans="1:8" ht="15">
      <c r="A24" s="33">
        <f>IF(Rechnen!$R$26=0,"",1)</f>
      </c>
      <c r="B24" s="59" t="str">
        <f>Rechnen!K26</f>
        <v>1. Gruppe A</v>
      </c>
      <c r="C24" s="59">
        <f>IF(Rechnen!$R$17=0,"",Rechnen!L26)</f>
        <v>0</v>
      </c>
      <c r="D24" s="59">
        <f>IF(Rechnen!$R$17=0,"",Rechnen!M26)</f>
        <v>0</v>
      </c>
      <c r="E24" s="59">
        <f>IF(Rechnen!$R$17=0,"",Rechnen!N26)</f>
        <v>0</v>
      </c>
      <c r="F24" s="34" t="s">
        <v>7</v>
      </c>
      <c r="G24" s="59">
        <f>IF(Rechnen!$R$17=0,"",Rechnen!P26)</f>
        <v>0</v>
      </c>
      <c r="H24" s="35">
        <f>IF(AND(E24="",G24=""),"",(E24-G24))</f>
        <v>0</v>
      </c>
    </row>
    <row r="25" spans="1:8" ht="15">
      <c r="A25" s="33">
        <f>IF(Rechnen!$R$26=0,"",2)</f>
      </c>
      <c r="B25" s="59" t="str">
        <f>Rechnen!K27</f>
        <v>2. Gruppe A</v>
      </c>
      <c r="C25" s="59">
        <f>IF(Rechnen!$R$17=0,"",Rechnen!L27)</f>
        <v>0</v>
      </c>
      <c r="D25" s="59">
        <f>IF(Rechnen!$R$17=0,"",Rechnen!M27)</f>
        <v>0</v>
      </c>
      <c r="E25" s="59">
        <f>IF(Rechnen!$R$17=0,"",Rechnen!N27)</f>
        <v>0</v>
      </c>
      <c r="F25" s="34" t="s">
        <v>7</v>
      </c>
      <c r="G25" s="59">
        <f>IF(Rechnen!$R$17=0,"",Rechnen!P27)</f>
        <v>0</v>
      </c>
      <c r="H25" s="35">
        <f>IF(AND(E25="",G25=""),"",(E25-G25))</f>
        <v>0</v>
      </c>
    </row>
    <row r="26" spans="1:8" ht="15">
      <c r="A26" s="33">
        <f>IF(Rechnen!$R$26=0,"",3)</f>
      </c>
      <c r="B26" s="59" t="str">
        <f>Rechnen!K28</f>
        <v>3. Gruppe B</v>
      </c>
      <c r="C26" s="59">
        <f>IF(Rechnen!$R$17=0,"",Rechnen!L28)</f>
        <v>0</v>
      </c>
      <c r="D26" s="59">
        <f>IF(Rechnen!$R$17=0,"",Rechnen!M28)</f>
        <v>0</v>
      </c>
      <c r="E26" s="59">
        <f>IF(Rechnen!$R$17=0,"",Rechnen!N28)</f>
        <v>0</v>
      </c>
      <c r="F26" s="34" t="s">
        <v>7</v>
      </c>
      <c r="G26" s="59">
        <f>IF(Rechnen!$R$17=0,"",Rechnen!P28)</f>
        <v>0</v>
      </c>
      <c r="H26" s="35">
        <f>IF(AND(E26="",G26=""),"",(E26-G26))</f>
        <v>0</v>
      </c>
    </row>
    <row r="27" spans="1:8" ht="15">
      <c r="A27" s="33">
        <f>IF(Rechnen!$R$26=0,"",4)</f>
      </c>
      <c r="B27" s="59" t="str">
        <f>Rechnen!K29</f>
        <v>4. Gruppe B</v>
      </c>
      <c r="C27" s="59">
        <f>IF(Rechnen!$R$17=0,"",Rechnen!L29)</f>
        <v>0</v>
      </c>
      <c r="D27" s="59">
        <f>IF(Rechnen!$R$17=0,"",Rechnen!M29)</f>
        <v>0</v>
      </c>
      <c r="E27" s="59">
        <f>IF(Rechnen!$R$17=0,"",Rechnen!N29)</f>
        <v>0</v>
      </c>
      <c r="F27" s="34" t="s">
        <v>7</v>
      </c>
      <c r="G27" s="59">
        <f>IF(Rechnen!$R$17=0,"",Rechnen!P29)</f>
        <v>0</v>
      </c>
      <c r="H27" s="35">
        <f>IF(AND(E27="",G27=""),"",(E27-G27))</f>
        <v>0</v>
      </c>
    </row>
    <row r="28" spans="1:8" ht="15">
      <c r="A28" s="190" t="s">
        <v>23</v>
      </c>
      <c r="B28" s="189" t="s">
        <v>68</v>
      </c>
      <c r="C28" s="193" t="s">
        <v>15</v>
      </c>
      <c r="D28" s="189" t="s">
        <v>0</v>
      </c>
      <c r="E28" s="189" t="s">
        <v>1</v>
      </c>
      <c r="F28" s="189"/>
      <c r="G28" s="189"/>
      <c r="H28" s="189" t="s">
        <v>16</v>
      </c>
    </row>
    <row r="29" spans="1:8" ht="15">
      <c r="A29" s="191"/>
      <c r="B29" s="192"/>
      <c r="C29" s="194"/>
      <c r="D29" s="192"/>
      <c r="E29" s="192"/>
      <c r="F29" s="192"/>
      <c r="G29" s="192"/>
      <c r="H29" s="192"/>
    </row>
    <row r="30" spans="1:8" ht="15">
      <c r="A30" s="33">
        <f>IF(Rechnen!$R$32=0,"",1)</f>
        <v>1</v>
      </c>
      <c r="B30" s="59" t="str">
        <f>Rechnen!K32</f>
        <v>1. Gruppe B</v>
      </c>
      <c r="C30" s="59">
        <f>IF(Rechnen!$R$17=0,"",Rechnen!L32)</f>
        <v>1</v>
      </c>
      <c r="D30" s="59">
        <f>IF(Rechnen!$R$17=0,"",Rechnen!M32)</f>
        <v>0</v>
      </c>
      <c r="E30" s="59">
        <f>IF(Rechnen!$R$17=0,"",Rechnen!N32)</f>
        <v>0</v>
      </c>
      <c r="F30" s="34" t="s">
        <v>7</v>
      </c>
      <c r="G30" s="59">
        <f>IF(Rechnen!$R$17=0,"",Rechnen!P32)</f>
        <v>1</v>
      </c>
      <c r="H30" s="35">
        <f>IF(AND(E30="",G30=""),"",(E30-G30))</f>
        <v>-1</v>
      </c>
    </row>
    <row r="31" spans="1:8" ht="15">
      <c r="A31" s="33">
        <f>IF(Rechnen!$R$32=0,"",2)</f>
        <v>2</v>
      </c>
      <c r="B31" s="59" t="str">
        <f>Rechnen!K33</f>
        <v>2. Gruppe B</v>
      </c>
      <c r="C31" s="59">
        <f>IF(Rechnen!$R$17=0,"",Rechnen!L33)</f>
        <v>1</v>
      </c>
      <c r="D31" s="59">
        <f>IF(Rechnen!$R$17=0,"",Rechnen!M33)</f>
        <v>0</v>
      </c>
      <c r="E31" s="59">
        <f>IF(Rechnen!$R$17=0,"",Rechnen!N33)</f>
        <v>0</v>
      </c>
      <c r="F31" s="34" t="s">
        <v>7</v>
      </c>
      <c r="G31" s="59">
        <f>IF(Rechnen!$R$17=0,"",Rechnen!P33)</f>
        <v>1</v>
      </c>
      <c r="H31" s="35">
        <f>IF(AND(E31="",G31=""),"",(E31-G31))</f>
        <v>-1</v>
      </c>
    </row>
    <row r="32" spans="1:8" ht="15">
      <c r="A32" s="33">
        <f>IF(Rechnen!$R$32=0,"",3)</f>
        <v>3</v>
      </c>
      <c r="B32" s="59" t="str">
        <f>Rechnen!K34</f>
        <v>3. Gruppe A</v>
      </c>
      <c r="C32" s="59">
        <f>IF(Rechnen!$R$17=0,"",Rechnen!L34)</f>
        <v>1</v>
      </c>
      <c r="D32" s="59">
        <f>IF(Rechnen!$R$17=0,"",Rechnen!M34)</f>
        <v>0</v>
      </c>
      <c r="E32" s="59">
        <f>IF(Rechnen!$R$17=0,"",Rechnen!N34)</f>
        <v>0</v>
      </c>
      <c r="F32" s="34" t="s">
        <v>7</v>
      </c>
      <c r="G32" s="59">
        <f>IF(Rechnen!$R$17=0,"",Rechnen!P34)</f>
        <v>1</v>
      </c>
      <c r="H32" s="35">
        <f>IF(AND(E32="",G32=""),"",(E32-G32))</f>
        <v>-1</v>
      </c>
    </row>
    <row r="33" spans="1:8" ht="15">
      <c r="A33" s="33">
        <f>IF(Rechnen!$R$32=0,"",4)</f>
        <v>4</v>
      </c>
      <c r="B33" s="59" t="str">
        <f>Rechnen!K35</f>
        <v>4. Gruppe A</v>
      </c>
      <c r="C33" s="59">
        <f>IF(Rechnen!$R$17=0,"",Rechnen!L35)</f>
        <v>3</v>
      </c>
      <c r="D33" s="59">
        <f>IF(Rechnen!$R$17=0,"",Rechnen!M35)</f>
        <v>9</v>
      </c>
      <c r="E33" s="59">
        <f>IF(Rechnen!$R$17=0,"",Rechnen!N35)</f>
        <v>3</v>
      </c>
      <c r="F33" s="34" t="s">
        <v>7</v>
      </c>
      <c r="G33" s="59">
        <f>IF(Rechnen!$R$17=0,"",Rechnen!P35)</f>
        <v>0</v>
      </c>
      <c r="H33" s="35">
        <f>IF(AND(E33="",G33=""),"",(E33-G33))</f>
        <v>3</v>
      </c>
    </row>
  </sheetData>
  <sheetProtection password="E760" sheet="1" objects="1" scenarios="1"/>
  <mergeCells count="17">
    <mergeCell ref="E13:G14"/>
    <mergeCell ref="H13:H14"/>
    <mergeCell ref="B12:H12"/>
    <mergeCell ref="B1:H1"/>
    <mergeCell ref="E2:G2"/>
    <mergeCell ref="A13:A14"/>
    <mergeCell ref="B13:B14"/>
    <mergeCell ref="C13:C14"/>
    <mergeCell ref="D13:D14"/>
    <mergeCell ref="B22:H22"/>
    <mergeCell ref="E23:G23"/>
    <mergeCell ref="A28:A29"/>
    <mergeCell ref="B28:B29"/>
    <mergeCell ref="C28:C29"/>
    <mergeCell ref="D28:D29"/>
    <mergeCell ref="E28:G29"/>
    <mergeCell ref="H28:H29"/>
  </mergeCells>
  <printOptions horizontalCentered="1"/>
  <pageMargins left="0.7480314960629921" right="0.7086614173228347" top="1.535433070866142" bottom="0.984251968503937" header="0.4724409448818898" footer="0.5118110236220472"/>
  <pageSetup horizontalDpi="600" verticalDpi="600" orientation="portrait" paperSize="9" r:id="rId2"/>
  <headerFooter alignWithMargins="0">
    <oddHeader>&amp;C&amp;"Arial,Fett Kursiv"&amp;16&amp;EMinistranten- Turnier&amp;"Arial,Standard"&amp;10&amp;E
&amp;"Arial,Fett Kursiv"&amp;14 2010&amp;"Arial,Standard"&amp;10
&amp;12Stadion-Halle - Wiesloch &amp;R&amp;"Arial,Fett"&amp;12Sonntag, 28.11.2010
</oddHeader>
  </headerFooter>
  <colBreaks count="1" manualBreakCount="1">
    <brk id="9" max="65535" man="1"/>
  </colBreaks>
  <legacyDrawing r:id="rId1"/>
</worksheet>
</file>

<file path=xl/worksheets/sheet6.xml><?xml version="1.0" encoding="utf-8"?>
<worksheet xmlns="http://schemas.openxmlformats.org/spreadsheetml/2006/main" xmlns:r="http://schemas.openxmlformats.org/officeDocument/2006/relationships">
  <sheetPr codeName="Tabelle4"/>
  <dimension ref="A1:Z71"/>
  <sheetViews>
    <sheetView zoomScale="80" zoomScaleNormal="80" zoomScalePageLayoutView="0" workbookViewId="0" topLeftCell="A1">
      <selection activeCell="AA33" sqref="AA3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38.25" customHeight="1">
      <c r="A2" s="13" t="s">
        <v>11</v>
      </c>
      <c r="B2" s="14" t="s">
        <v>12</v>
      </c>
      <c r="C2" s="14"/>
      <c r="D2" s="14" t="s">
        <v>12</v>
      </c>
      <c r="E2" s="202" t="s">
        <v>5</v>
      </c>
      <c r="F2" s="202"/>
      <c r="G2" s="202"/>
      <c r="H2" s="55" t="s">
        <v>13</v>
      </c>
      <c r="I2" s="55" t="s">
        <v>14</v>
      </c>
      <c r="J2" s="15"/>
      <c r="K2" s="145" t="s">
        <v>33</v>
      </c>
      <c r="L2" s="10" t="s">
        <v>15</v>
      </c>
      <c r="M2" s="10" t="s">
        <v>0</v>
      </c>
      <c r="N2" s="203" t="s">
        <v>1</v>
      </c>
      <c r="O2" s="203"/>
      <c r="P2" s="203"/>
      <c r="Q2" s="10" t="s">
        <v>16</v>
      </c>
      <c r="R2" s="11" t="s">
        <v>20</v>
      </c>
      <c r="S2" s="10" t="s">
        <v>17</v>
      </c>
      <c r="T2" s="10" t="s">
        <v>18</v>
      </c>
      <c r="U2" s="10" t="s">
        <v>19</v>
      </c>
      <c r="V2" s="10" t="s">
        <v>24</v>
      </c>
      <c r="W2" s="10" t="s">
        <v>25</v>
      </c>
      <c r="X2" s="10" t="s">
        <v>26</v>
      </c>
      <c r="Y2" s="10" t="s">
        <v>27</v>
      </c>
      <c r="Z2" s="10" t="s">
        <v>28</v>
      </c>
    </row>
    <row r="3" spans="1:26" ht="12.75">
      <c r="A3" s="17">
        <f>Spielplan!$B53</f>
        <v>41</v>
      </c>
      <c r="B3" s="62" t="str">
        <f>Spielplan!$E53</f>
        <v>T. Pochadt</v>
      </c>
      <c r="C3" s="63" t="s">
        <v>6</v>
      </c>
      <c r="D3" s="64" t="str">
        <f>Spielplan!$G53</f>
        <v>C. Müller</v>
      </c>
      <c r="E3" s="14">
        <f>IF(Spielplan!$H53="","",Spielplan!$H53)</f>
      </c>
      <c r="F3" s="14" t="s">
        <v>7</v>
      </c>
      <c r="G3" s="14">
        <f>IF(Spielplan!$J53="","",Spielplan!$J53)</f>
      </c>
      <c r="H3" s="56">
        <f aca="true" t="shared" si="0" ref="H3:H22">IF(OR($E3="",$G3=""),"",IF(E3&gt;G3,3,IF(E3=G3,1,0)))</f>
      </c>
      <c r="I3" s="56">
        <f aca="true" t="shared" si="1" ref="I3:I22">IF(OR($E3="",$G3=""),"",IF(G3&gt;E3,3,IF(E3=G3,1,0)))</f>
      </c>
      <c r="K3" s="65" t="str">
        <f>Vorgaben!A2</f>
        <v>M. Maart</v>
      </c>
      <c r="L3" s="18">
        <f>SUM(S3:Z3)</f>
        <v>0</v>
      </c>
      <c r="M3" s="18">
        <f>SUM(H5,I13,I20,I28,I35,H45,H55,H59)</f>
        <v>0</v>
      </c>
      <c r="N3" s="14">
        <f>SUM(E5,G13,G20,G28,G35,E45,E55,E59)</f>
        <v>0</v>
      </c>
      <c r="O3" s="14" t="s">
        <v>7</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Spielplan!$B67</f>
        <v>6</v>
      </c>
      <c r="B4" s="62" t="str">
        <f>Spielplan!$E67</f>
        <v>Dr. E. Eschbach</v>
      </c>
      <c r="C4" s="63" t="s">
        <v>6</v>
      </c>
      <c r="D4" s="64">
        <f>Spielplan!$G67</f>
        <v>0</v>
      </c>
      <c r="E4" s="14">
        <f>IF(Spielplan!$H67="","",Spielplan!$H67)</f>
      </c>
      <c r="F4" s="14" t="s">
        <v>7</v>
      </c>
      <c r="G4" s="14">
        <f>IF(Spielplan!$J67="","",Spielplan!$J67)</f>
      </c>
      <c r="H4" s="56">
        <f t="shared" si="0"/>
      </c>
      <c r="I4" s="56">
        <f t="shared" si="1"/>
      </c>
      <c r="K4" s="65" t="str">
        <f>Vorgaben!A3</f>
        <v>T. Scheithauer</v>
      </c>
      <c r="L4" s="18">
        <f aca="true" t="shared" si="3" ref="L4:L11">SUM(S4:Z4)</f>
        <v>0</v>
      </c>
      <c r="M4" s="18">
        <f>SUM(I5,H14,H23,H29,I34,I40,H49,I54)</f>
        <v>0</v>
      </c>
      <c r="N4" s="14">
        <f>SUM(G5,E14,E23,E29,G34,G40,E49,G54)</f>
        <v>0</v>
      </c>
      <c r="O4" s="14" t="s">
        <v>7</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Spielplan!$B13</f>
        <v>1</v>
      </c>
      <c r="B5" s="62" t="str">
        <f>Spielplan!$E13</f>
        <v>M. Maart</v>
      </c>
      <c r="C5" s="63" t="s">
        <v>6</v>
      </c>
      <c r="D5" s="64" t="str">
        <f>Spielplan!$G13</f>
        <v>T. Scheithauer</v>
      </c>
      <c r="E5" s="14">
        <f>IF(Spielplan!$H13="","",Spielplan!$H13)</f>
      </c>
      <c r="F5" s="14" t="s">
        <v>7</v>
      </c>
      <c r="G5" s="14">
        <f>IF(Spielplan!$J13="","",Spielplan!$J13)</f>
      </c>
      <c r="H5" s="56">
        <f t="shared" si="0"/>
      </c>
      <c r="I5" s="56">
        <f t="shared" si="1"/>
      </c>
      <c r="K5" s="65" t="str">
        <f>Vorgaben!A4</f>
        <v>A. Langkamp</v>
      </c>
      <c r="L5" s="18">
        <f t="shared" si="3"/>
        <v>0</v>
      </c>
      <c r="M5" s="18">
        <f>SUM(I8,H15,I23,H33,H39,I44,H50,I59)</f>
        <v>0</v>
      </c>
      <c r="N5" s="14">
        <f>SUM(G8,E15,G23,E33,E39,G44,E50,G59)</f>
        <v>0</v>
      </c>
      <c r="O5" s="14" t="s">
        <v>7</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Spielplan!$B31</f>
        <v>19</v>
      </c>
      <c r="B6" s="62" t="str">
        <f>Spielplan!$E31</f>
        <v>R. Breitenstein</v>
      </c>
      <c r="C6" s="63" t="s">
        <v>6</v>
      </c>
      <c r="D6" s="64" t="str">
        <f>Spielplan!$G31</f>
        <v>J. Meyer</v>
      </c>
      <c r="E6" s="14">
        <f>IF(Spielplan!$H31="","",Spielplan!$H31)</f>
      </c>
      <c r="F6" s="14" t="s">
        <v>7</v>
      </c>
      <c r="G6" s="14">
        <f>IF(Spielplan!$J31="","",Spielplan!$J31)</f>
      </c>
      <c r="H6" s="56">
        <f t="shared" si="0"/>
      </c>
      <c r="I6" s="56">
        <f t="shared" si="1"/>
      </c>
      <c r="K6" s="65" t="str">
        <f>Vorgaben!A5</f>
        <v>T. Pochadt</v>
      </c>
      <c r="L6" s="18">
        <f t="shared" si="3"/>
        <v>0</v>
      </c>
      <c r="M6" s="18">
        <f>SUM(H3,I9,H18,H25,I30,I39,I45,H54)</f>
        <v>0</v>
      </c>
      <c r="N6" s="14">
        <f>SUM(E3,G9,E18,E25,G30,G39,G45,E54)</f>
        <v>0</v>
      </c>
      <c r="O6" s="14" t="s">
        <v>7</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Spielplan!$B27</f>
        <v>15</v>
      </c>
      <c r="B7" s="62" t="str">
        <f>Spielplan!$E27</f>
        <v>T. Büchner</v>
      </c>
      <c r="C7" s="63" t="s">
        <v>6</v>
      </c>
      <c r="D7" s="64" t="str">
        <f>Spielplan!$G27</f>
        <v>A. Staeder</v>
      </c>
      <c r="E7" s="14">
        <f>IF(Spielplan!$H27="","",Spielplan!$H27)</f>
      </c>
      <c r="F7" s="14" t="s">
        <v>7</v>
      </c>
      <c r="G7" s="14">
        <f>IF(Spielplan!$J27="","",Spielplan!$J27)</f>
      </c>
      <c r="H7" s="56">
        <f t="shared" si="0"/>
      </c>
      <c r="I7" s="56">
        <f t="shared" si="1"/>
      </c>
      <c r="K7" s="65" t="str">
        <f>Vorgaben!A6</f>
        <v>C. Müller</v>
      </c>
      <c r="L7" s="18">
        <f t="shared" si="3"/>
        <v>0</v>
      </c>
      <c r="M7" s="18">
        <f>SUM(I3,H10,H19,H24,I33,H40,I48,I55)</f>
        <v>0</v>
      </c>
      <c r="N7" s="14">
        <f>SUM(G3,E10,E19,E24,G33,E40,G48,G55)</f>
        <v>0</v>
      </c>
      <c r="O7" s="14" t="s">
        <v>7</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Spielplan!$B49</f>
        <v>37</v>
      </c>
      <c r="B8" s="62" t="str">
        <f>Spielplan!$E49</f>
        <v>D. Rehbock</v>
      </c>
      <c r="C8" s="63" t="s">
        <v>6</v>
      </c>
      <c r="D8" s="64" t="str">
        <f>Spielplan!$G49</f>
        <v>A. Langkamp</v>
      </c>
      <c r="E8" s="14">
        <f>IF(Spielplan!$H49="","",Spielplan!$H49)</f>
      </c>
      <c r="F8" s="14" t="s">
        <v>7</v>
      </c>
      <c r="G8" s="14">
        <f>IF(Spielplan!$J49="","",Spielplan!$J49)</f>
      </c>
      <c r="H8" s="56">
        <f t="shared" si="0"/>
      </c>
      <c r="I8" s="56">
        <f t="shared" si="1"/>
      </c>
      <c r="K8" s="65" t="str">
        <f>Vorgaben!A7</f>
        <v>D. Rehbock</v>
      </c>
      <c r="L8" s="18">
        <f t="shared" si="3"/>
        <v>0</v>
      </c>
      <c r="M8" s="18">
        <f>SUM(H8,I14,H20,H30,I38,H48,I53,I57)</f>
        <v>0</v>
      </c>
      <c r="N8" s="14">
        <f>SUM(E8,G14,E20,E30,G38,E48,G53,G57)</f>
        <v>0</v>
      </c>
      <c r="O8" s="14" t="s">
        <v>7</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Spielplan!$B57</f>
        <v>27</v>
      </c>
      <c r="B9" s="62">
        <f>Spielplan!$E57</f>
        <v>0</v>
      </c>
      <c r="C9" s="63" t="s">
        <v>6</v>
      </c>
      <c r="D9" s="64" t="str">
        <f>Spielplan!$G57</f>
        <v>T. Pochadt</v>
      </c>
      <c r="E9" s="14">
        <f>IF(Spielplan!$H57="","",Spielplan!$H57)</f>
      </c>
      <c r="F9" s="14" t="s">
        <v>7</v>
      </c>
      <c r="G9" s="14">
        <f>IF(Spielplan!$J57="","",Spielplan!$J57)</f>
      </c>
      <c r="H9" s="56">
        <f t="shared" si="0"/>
      </c>
      <c r="I9" s="56">
        <f t="shared" si="1"/>
      </c>
      <c r="K9" s="65" t="str">
        <f>Vorgaben!A8</f>
        <v>Dr. E. Eschbach</v>
      </c>
      <c r="L9" s="18">
        <f t="shared" si="3"/>
        <v>0</v>
      </c>
      <c r="M9" s="18">
        <f>SUM(H4,I10,I18,H28,H34,I43,I50,H57)</f>
        <v>0</v>
      </c>
      <c r="N9" s="14">
        <f>SUM(E4,G10,G18,E28,E34,G43,G50,E57)</f>
        <v>0</v>
      </c>
      <c r="O9" s="14" t="s">
        <v>7</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Spielplan!$B46</f>
        <v>34</v>
      </c>
      <c r="B10" s="62" t="str">
        <f>Spielplan!$E46</f>
        <v>C. Müller</v>
      </c>
      <c r="C10" s="63" t="s">
        <v>6</v>
      </c>
      <c r="D10" s="64" t="str">
        <f>Spielplan!$G46</f>
        <v>Dr. E. Eschbach</v>
      </c>
      <c r="E10" s="14">
        <f>IF(Spielplan!$H46="","",Spielplan!$H46)</f>
      </c>
      <c r="F10" s="14" t="s">
        <v>7</v>
      </c>
      <c r="G10" s="14">
        <f>IF(Spielplan!$J46="","",Spielplan!$J46)</f>
      </c>
      <c r="H10" s="56">
        <f t="shared" si="0"/>
      </c>
      <c r="I10" s="56">
        <f t="shared" si="1"/>
      </c>
      <c r="K10" s="65">
        <f>Vorgaben!A9</f>
        <v>0</v>
      </c>
      <c r="L10" s="18">
        <f t="shared" si="3"/>
        <v>0</v>
      </c>
      <c r="M10" s="18">
        <f>SUM(I4,H13,I19,I25,H38,H44,I49,H58)</f>
        <v>0</v>
      </c>
      <c r="N10" s="14">
        <f>SUM(G4,E13,G19,G25,E38,E44,G49,E58)</f>
        <v>0</v>
      </c>
      <c r="O10" s="14" t="s">
        <v>7</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Spielplan!$B54</f>
        <v>42</v>
      </c>
      <c r="B11" s="62" t="str">
        <f>Spielplan!$E54</f>
        <v>M. Hintze</v>
      </c>
      <c r="C11" s="63" t="s">
        <v>6</v>
      </c>
      <c r="D11" s="64" t="str">
        <f>Spielplan!$G54</f>
        <v>A. Wenzel</v>
      </c>
      <c r="E11" s="14">
        <f>IF(Spielplan!$H54="","",Spielplan!$H54)</f>
      </c>
      <c r="F11" s="14" t="s">
        <v>7</v>
      </c>
      <c r="G11" s="14">
        <f>IF(Spielplan!$J54="","",Spielplan!$J54)</f>
      </c>
      <c r="H11" s="56">
        <f t="shared" si="0"/>
      </c>
      <c r="I11" s="56">
        <f t="shared" si="1"/>
      </c>
      <c r="J11" s="21"/>
      <c r="K11" s="65">
        <f>Vorgaben!A10</f>
        <v>0</v>
      </c>
      <c r="L11" s="18">
        <f t="shared" si="3"/>
        <v>0</v>
      </c>
      <c r="M11" s="18">
        <f>SUM(H9,I15,I24,I29,H35,H43,H53,I58)</f>
        <v>0</v>
      </c>
      <c r="N11" s="14">
        <f>SUM(E9,G15,G24,G29,E35,E43,E53,G58)</f>
        <v>0</v>
      </c>
      <c r="O11" s="14" t="s">
        <v>7</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8" ht="12.75">
      <c r="A12" s="17">
        <f>Spielplan!$B44</f>
        <v>32</v>
      </c>
      <c r="B12" s="62" t="str">
        <f>Spielplan!$E44</f>
        <v>J. Meyer</v>
      </c>
      <c r="C12" s="63" t="s">
        <v>6</v>
      </c>
      <c r="D12" s="64" t="str">
        <f>Spielplan!$G44</f>
        <v>T. Büchner</v>
      </c>
      <c r="E12" s="14">
        <f>IF(Spielplan!$H44="","",Spielplan!$H44)</f>
      </c>
      <c r="F12" s="14" t="s">
        <v>7</v>
      </c>
      <c r="G12" s="14">
        <f>IF(Spielplan!$J44="","",Spielplan!$J44)</f>
      </c>
      <c r="H12" s="56">
        <f t="shared" si="0"/>
      </c>
      <c r="I12" s="56">
        <f t="shared" si="1"/>
      </c>
      <c r="K12" s="66"/>
      <c r="L12" s="18"/>
      <c r="M12" s="18"/>
      <c r="N12" s="14"/>
      <c r="O12" s="14"/>
      <c r="P12" s="14"/>
      <c r="Q12" s="14"/>
      <c r="R12" s="199" t="s">
        <v>69</v>
      </c>
    </row>
    <row r="13" spans="1:18" ht="12.75" customHeight="1" hidden="1">
      <c r="A13" s="17">
        <f>Spielplan!$B58</f>
        <v>29</v>
      </c>
      <c r="B13" s="62">
        <f>Spielplan!$E58</f>
        <v>0</v>
      </c>
      <c r="C13" s="63" t="s">
        <v>6</v>
      </c>
      <c r="D13" s="64" t="str">
        <f>Spielplan!$G58</f>
        <v>M. Maart</v>
      </c>
      <c r="E13" s="14">
        <f>IF(Spielplan!$H58="","",Spielplan!$H58)</f>
      </c>
      <c r="F13" s="14" t="s">
        <v>7</v>
      </c>
      <c r="G13" s="14">
        <f>IF(Spielplan!$J58="","",Spielplan!$J58)</f>
      </c>
      <c r="H13" s="56">
        <f t="shared" si="0"/>
      </c>
      <c r="I13" s="56">
        <f t="shared" si="1"/>
      </c>
      <c r="K13" s="66"/>
      <c r="L13" s="18"/>
      <c r="M13" s="18"/>
      <c r="N13" s="14"/>
      <c r="O13" s="14"/>
      <c r="P13" s="14"/>
      <c r="Q13" s="14"/>
      <c r="R13" s="199"/>
    </row>
    <row r="14" spans="1:18" ht="15.75" customHeight="1">
      <c r="A14" s="17">
        <f>Spielplan!$B34</f>
        <v>22</v>
      </c>
      <c r="B14" s="62" t="str">
        <f>Spielplan!$E34</f>
        <v>T. Scheithauer</v>
      </c>
      <c r="C14" s="63" t="s">
        <v>6</v>
      </c>
      <c r="D14" s="64" t="str">
        <f>Spielplan!$G34</f>
        <v>D. Rehbock</v>
      </c>
      <c r="E14" s="14">
        <f>IF(Spielplan!$H34="","",Spielplan!$H34)</f>
      </c>
      <c r="F14" s="14" t="s">
        <v>7</v>
      </c>
      <c r="G14" s="14">
        <f>IF(Spielplan!$J34="","",Spielplan!$J34)</f>
      </c>
      <c r="H14" s="56">
        <f t="shared" si="0"/>
      </c>
      <c r="I14" s="56">
        <f t="shared" si="1"/>
      </c>
      <c r="K14" s="66"/>
      <c r="L14" s="18"/>
      <c r="M14" s="18"/>
      <c r="N14" s="14"/>
      <c r="O14" s="14"/>
      <c r="P14" s="14"/>
      <c r="Q14" s="14"/>
      <c r="R14" s="199"/>
    </row>
    <row r="15" spans="1:18" ht="12.75" customHeight="1" hidden="1">
      <c r="A15" s="17">
        <f>Spielplan!$B60</f>
        <v>36</v>
      </c>
      <c r="B15" s="62" t="str">
        <f>Spielplan!$E60</f>
        <v>A. Langkamp</v>
      </c>
      <c r="C15" s="63" t="s">
        <v>6</v>
      </c>
      <c r="D15" s="64">
        <f>Spielplan!$G60</f>
        <v>0</v>
      </c>
      <c r="E15" s="14">
        <f>IF(Spielplan!$H60="","",Spielplan!$H60)</f>
      </c>
      <c r="F15" s="14" t="s">
        <v>7</v>
      </c>
      <c r="G15" s="14">
        <f>IF(Spielplan!$J60="","",Spielplan!$J60)</f>
      </c>
      <c r="H15" s="56">
        <f t="shared" si="0"/>
      </c>
      <c r="I15" s="56">
        <f t="shared" si="1"/>
      </c>
      <c r="K15" s="201" t="s">
        <v>32</v>
      </c>
      <c r="L15" s="202" t="s">
        <v>15</v>
      </c>
      <c r="M15" s="202" t="s">
        <v>0</v>
      </c>
      <c r="N15" s="202" t="s">
        <v>1</v>
      </c>
      <c r="O15" s="202"/>
      <c r="P15" s="202"/>
      <c r="Q15" s="202" t="s">
        <v>16</v>
      </c>
      <c r="R15" s="199"/>
    </row>
    <row r="16" spans="1:18" ht="12.75" customHeight="1">
      <c r="A16" s="17">
        <f>Spielplan!$B23</f>
        <v>11</v>
      </c>
      <c r="B16" s="62" t="str">
        <f>Spielplan!$E23</f>
        <v>R. Breitenstein</v>
      </c>
      <c r="C16" s="63" t="s">
        <v>6</v>
      </c>
      <c r="D16" s="64" t="str">
        <f>Spielplan!$G23</f>
        <v>M. Hintze</v>
      </c>
      <c r="E16" s="14">
        <f>IF(Spielplan!$H23="","",Spielplan!$H23)</f>
      </c>
      <c r="F16" s="14" t="s">
        <v>7</v>
      </c>
      <c r="G16" s="14">
        <f>IF(Spielplan!$J23="","",Spielplan!$J23)</f>
      </c>
      <c r="H16" s="56">
        <f t="shared" si="0"/>
      </c>
      <c r="I16" s="56">
        <f t="shared" si="1"/>
      </c>
      <c r="K16" s="201"/>
      <c r="L16" s="202"/>
      <c r="M16" s="202"/>
      <c r="N16" s="202"/>
      <c r="O16" s="202"/>
      <c r="P16" s="202"/>
      <c r="Q16" s="202"/>
      <c r="R16" s="199"/>
    </row>
    <row r="17" spans="1:24" ht="15.75" customHeight="1">
      <c r="A17" s="17">
        <f>Spielplan!$B19</f>
        <v>7</v>
      </c>
      <c r="B17" s="62" t="str">
        <f>Spielplan!$E19</f>
        <v>A. Staeder</v>
      </c>
      <c r="C17" s="63" t="s">
        <v>6</v>
      </c>
      <c r="D17" s="64" t="str">
        <f>Spielplan!$G19</f>
        <v>A. Wenzel</v>
      </c>
      <c r="E17" s="14">
        <f>IF(Spielplan!$H19="","",Spielplan!$H19)</f>
      </c>
      <c r="F17" s="14" t="s">
        <v>7</v>
      </c>
      <c r="G17" s="14">
        <f>IF(Spielplan!$J19="","",Spielplan!$J19)</f>
      </c>
      <c r="H17" s="56">
        <f t="shared" si="0"/>
      </c>
      <c r="I17" s="56">
        <f t="shared" si="1"/>
      </c>
      <c r="K17" s="67" t="str">
        <f>Vorgaben!B2</f>
        <v>T. Büchner</v>
      </c>
      <c r="L17" s="18">
        <f>SUM(S17:X17)</f>
        <v>1</v>
      </c>
      <c r="M17" s="18">
        <f>SUM(H7,I12,I21,H31,H41,I52)</f>
        <v>0</v>
      </c>
      <c r="N17" s="14">
        <f>SUM(E7,G12,G21,E31,E41,G52)</f>
        <v>0</v>
      </c>
      <c r="O17" s="14" t="s">
        <v>7</v>
      </c>
      <c r="P17" s="14">
        <f>SUM(G7,E12,E21,G31,G41,E52)</f>
        <v>1</v>
      </c>
      <c r="Q17" s="14">
        <f aca="true" t="shared" si="4" ref="Q17:Q23">N17-P17</f>
        <v>-1</v>
      </c>
      <c r="R17" s="10">
        <f>SUM(L17:L23)/2</f>
        <v>6</v>
      </c>
      <c r="S17" s="10">
        <f>IF(OR($E7="",$G7=""),0,1)</f>
        <v>0</v>
      </c>
      <c r="T17" s="10">
        <f>IF(OR($E12="",$G12=""),0,1)</f>
        <v>0</v>
      </c>
      <c r="U17" s="10">
        <f>IF(OR($E21="",$G21=""),0,1)</f>
        <v>0</v>
      </c>
      <c r="V17" s="10">
        <f>IF(OR($E31="",$G31=""),0,1)</f>
        <v>0</v>
      </c>
      <c r="W17" s="10">
        <f>IF(OR($E41="",$G41=""),0,1)</f>
        <v>1</v>
      </c>
      <c r="X17" s="10">
        <f>IF(OR($E52="",$G52=""),0,1)</f>
        <v>0</v>
      </c>
    </row>
    <row r="18" spans="1:24" ht="12.75">
      <c r="A18" s="17">
        <f>Spielplan!$B26</f>
        <v>14</v>
      </c>
      <c r="B18" s="62" t="str">
        <f>Spielplan!$E26</f>
        <v>T. Pochadt</v>
      </c>
      <c r="C18" s="63" t="s">
        <v>6</v>
      </c>
      <c r="D18" s="64" t="str">
        <f>Spielplan!$G26</f>
        <v>Dr. E. Eschbach</v>
      </c>
      <c r="E18" s="14">
        <f>IF(Spielplan!$H26="","",Spielplan!$H26)</f>
      </c>
      <c r="F18" s="14" t="s">
        <v>7</v>
      </c>
      <c r="G18" s="14">
        <f>IF(Spielplan!$J26="","",Spielplan!$J26)</f>
      </c>
      <c r="H18" s="56">
        <f t="shared" si="0"/>
      </c>
      <c r="I18" s="56">
        <f t="shared" si="1"/>
      </c>
      <c r="K18" s="65" t="str">
        <f>Vorgaben!B3</f>
        <v>R. Breitenstein</v>
      </c>
      <c r="L18" s="18">
        <f aca="true" t="shared" si="5" ref="L18:L23">SUM(S18:X18)</f>
        <v>1</v>
      </c>
      <c r="M18" s="18">
        <f>SUM(H6,H16,H21,I32,I37,I47)</f>
        <v>0</v>
      </c>
      <c r="N18" s="14">
        <f>SUM(E6,E16,E21,G32,G37,G47)</f>
        <v>0</v>
      </c>
      <c r="O18" s="14" t="s">
        <v>7</v>
      </c>
      <c r="P18" s="14">
        <f>SUM(G6,G16,G21,E37,E32,E47)</f>
        <v>1</v>
      </c>
      <c r="Q18" s="14">
        <f t="shared" si="4"/>
        <v>-1</v>
      </c>
      <c r="R18" s="21"/>
      <c r="S18" s="10">
        <f>IF(OR($E6="",$G6=""),0,1)</f>
        <v>0</v>
      </c>
      <c r="T18" s="10">
        <f>IF(OR($E16="",$G16=""),0,1)</f>
        <v>0</v>
      </c>
      <c r="U18" s="10">
        <f>IF(OR($E21="",$G21=""),0,1)</f>
        <v>0</v>
      </c>
      <c r="V18" s="10">
        <f>IF(OR($E32="",$G32=""),0,1)</f>
        <v>1</v>
      </c>
      <c r="W18" s="10">
        <f>IF(OR($E37="",$G37=""),0,1)</f>
        <v>0</v>
      </c>
      <c r="X18" s="10">
        <f>IF(OR($E47="",$G47=""),0,1)</f>
        <v>0</v>
      </c>
    </row>
    <row r="19" spans="1:24" ht="12.75">
      <c r="A19" s="17">
        <f>Spielplan!$B56</f>
        <v>23</v>
      </c>
      <c r="B19" s="62" t="str">
        <f>Spielplan!$E56</f>
        <v>C. Müller</v>
      </c>
      <c r="C19" s="63" t="s">
        <v>6</v>
      </c>
      <c r="D19" s="64">
        <f>Spielplan!$G56</f>
        <v>0</v>
      </c>
      <c r="E19" s="14">
        <f>IF(Spielplan!$H56="","",Spielplan!$H56)</f>
      </c>
      <c r="F19" s="14" t="s">
        <v>7</v>
      </c>
      <c r="G19" s="14">
        <f>IF(Spielplan!$J56="","",Spielplan!$J56)</f>
      </c>
      <c r="H19" s="56">
        <f t="shared" si="0"/>
      </c>
      <c r="I19" s="56">
        <f t="shared" si="1"/>
      </c>
      <c r="K19" s="65" t="str">
        <f>Vorgaben!B4</f>
        <v>J. Meyer</v>
      </c>
      <c r="L19" s="18">
        <f t="shared" si="5"/>
        <v>1</v>
      </c>
      <c r="M19" s="18">
        <f>SUM(I6,H12,I22,H36,I42,H51)</f>
        <v>0</v>
      </c>
      <c r="N19" s="14">
        <f>SUM(G6,E12,G22,E36,G42,E51)</f>
        <v>0</v>
      </c>
      <c r="O19" s="14" t="s">
        <v>7</v>
      </c>
      <c r="P19" s="14">
        <f>SUM(E6,G12,E22,G36,E42,G51)</f>
        <v>1</v>
      </c>
      <c r="Q19" s="14">
        <f t="shared" si="4"/>
        <v>-1</v>
      </c>
      <c r="S19" s="10">
        <f>IF(OR($E6="",$G6=""),0,1)</f>
        <v>0</v>
      </c>
      <c r="T19" s="10">
        <f>IF(OR($E12="",$G12=""),0,1)</f>
        <v>0</v>
      </c>
      <c r="U19" s="10">
        <f>IF(OR($E22="",$G22=""),0,1)</f>
        <v>1</v>
      </c>
      <c r="V19" s="10">
        <f>IF(OR($E36="",$G36=""),0,1)</f>
        <v>0</v>
      </c>
      <c r="W19" s="10">
        <f>IF(OR($E42="",$G42=""),0,1)</f>
        <v>0</v>
      </c>
      <c r="X19" s="10">
        <f>IF(OR($E51="",$G51=""),0,1)</f>
        <v>0</v>
      </c>
    </row>
    <row r="20" spans="1:24" ht="12.75">
      <c r="A20" s="17">
        <f>Spielplan!$B25</f>
        <v>13</v>
      </c>
      <c r="B20" s="62" t="str">
        <f>Spielplan!$E25</f>
        <v>D. Rehbock</v>
      </c>
      <c r="C20" s="63" t="s">
        <v>6</v>
      </c>
      <c r="D20" s="64" t="str">
        <f>Spielplan!$G25</f>
        <v>M. Maart</v>
      </c>
      <c r="E20" s="14">
        <f>IF(Spielplan!$H25="","",Spielplan!$H25)</f>
      </c>
      <c r="F20" s="14" t="s">
        <v>7</v>
      </c>
      <c r="G20" s="14">
        <f>IF(Spielplan!$J25="","",Spielplan!$J25)</f>
      </c>
      <c r="H20" s="56">
        <f t="shared" si="0"/>
      </c>
      <c r="I20" s="56">
        <f t="shared" si="1"/>
      </c>
      <c r="K20" s="65" t="str">
        <f>Vorgaben!B5</f>
        <v>M. Hintze</v>
      </c>
      <c r="L20" s="18">
        <f t="shared" si="5"/>
        <v>1</v>
      </c>
      <c r="M20" s="18">
        <f>SUM(H11,I16,I26,I31,H42,H56)</f>
        <v>0</v>
      </c>
      <c r="N20" s="14">
        <f>SUM(E11,G16,G26,G31,E42,E56)</f>
        <v>0</v>
      </c>
      <c r="O20" s="14" t="s">
        <v>7</v>
      </c>
      <c r="P20" s="14">
        <f>SUM(G11,E16,E26,E31,G42,G56)</f>
        <v>1</v>
      </c>
      <c r="Q20" s="14">
        <f t="shared" si="4"/>
        <v>-1</v>
      </c>
      <c r="S20" s="10">
        <f>IF(OR($E11="",$G11=""),0,1)</f>
        <v>0</v>
      </c>
      <c r="T20" s="10">
        <f>IF(OR($E16="",$G16=""),0,1)</f>
        <v>0</v>
      </c>
      <c r="U20" s="10">
        <f>IF(OR($E26="",$G26=""),0,1)</f>
        <v>0</v>
      </c>
      <c r="V20" s="10">
        <f>IF(OR($E31="",$G31=""),0,1)</f>
        <v>0</v>
      </c>
      <c r="W20" s="10">
        <f>IF(OR($E42="",$G42=""),0,1)</f>
        <v>0</v>
      </c>
      <c r="X20" s="10">
        <f>IF(OR($E56="",$G56=""),0,1)</f>
        <v>1</v>
      </c>
    </row>
    <row r="21" spans="1:24" ht="12.75">
      <c r="A21" s="17">
        <f>Spielplan!$B15</f>
        <v>3</v>
      </c>
      <c r="B21" s="62" t="str">
        <f>Spielplan!$E15</f>
        <v>R. Breitenstein</v>
      </c>
      <c r="C21" s="63" t="s">
        <v>6</v>
      </c>
      <c r="D21" s="64" t="str">
        <f>Spielplan!$G15</f>
        <v>T. Büchner</v>
      </c>
      <c r="E21" s="14">
        <f>IF(Spielplan!$H15="","",Spielplan!$H15)</f>
      </c>
      <c r="F21" s="14" t="s">
        <v>7</v>
      </c>
      <c r="G21" s="14">
        <f>IF(Spielplan!$J15="","",Spielplan!$J15)</f>
      </c>
      <c r="H21" s="56">
        <f t="shared" si="0"/>
      </c>
      <c r="I21" s="56">
        <f t="shared" si="1"/>
      </c>
      <c r="K21" s="65" t="str">
        <f>Vorgaben!B6</f>
        <v>A. Wenzel</v>
      </c>
      <c r="L21" s="18">
        <f t="shared" si="5"/>
        <v>1</v>
      </c>
      <c r="M21" s="18">
        <f>SUM(I11,I17,H27,I36,H47,H52)</f>
        <v>0</v>
      </c>
      <c r="N21" s="14">
        <f>SUM(G11,G17,E27,G36,E47,E52)</f>
        <v>0</v>
      </c>
      <c r="O21" s="14" t="s">
        <v>7</v>
      </c>
      <c r="P21" s="14">
        <f>SUM(E11,E17,G27,E36,G47,G52)</f>
        <v>1</v>
      </c>
      <c r="Q21" s="14">
        <f t="shared" si="4"/>
        <v>-1</v>
      </c>
      <c r="R21" s="20"/>
      <c r="S21" s="10">
        <f>IF(OR($E11="",$G11=""),0,1)</f>
        <v>0</v>
      </c>
      <c r="T21" s="10">
        <f>IF(OR($E17="",$G17=""),0,1)</f>
        <v>0</v>
      </c>
      <c r="U21" s="10">
        <f>IF(OR($E27="",$G27=""),0,1)</f>
        <v>1</v>
      </c>
      <c r="V21" s="10">
        <f>IF(OR($E36="",$G36=""),0,1)</f>
        <v>0</v>
      </c>
      <c r="W21" s="10">
        <f>IF(OR($E47="",$G47=""),0,1)</f>
        <v>0</v>
      </c>
      <c r="X21" s="10">
        <f>IF(OR($E52="",$G52=""),0,1)</f>
        <v>0</v>
      </c>
    </row>
    <row r="22" spans="1:24" ht="12.75">
      <c r="A22" s="17">
        <f>Spielplan!$B35</f>
        <v>23</v>
      </c>
      <c r="B22" s="62" t="str">
        <f>Spielplan!$E35</f>
        <v>R. Adamowski</v>
      </c>
      <c r="C22" s="63" t="s">
        <v>6</v>
      </c>
      <c r="D22" s="64" t="str">
        <f>Spielplan!$G35</f>
        <v>J. Meyer</v>
      </c>
      <c r="E22" s="14">
        <f>IF(Spielplan!$H35="","",Spielplan!$H35)</f>
        <v>1</v>
      </c>
      <c r="F22" s="14" t="s">
        <v>7</v>
      </c>
      <c r="G22" s="14">
        <f>IF(Spielplan!$J35="","",Spielplan!$J35)</f>
        <v>0</v>
      </c>
      <c r="H22" s="56">
        <f t="shared" si="0"/>
        <v>3</v>
      </c>
      <c r="I22" s="56">
        <f t="shared" si="1"/>
        <v>0</v>
      </c>
      <c r="K22" s="65" t="str">
        <f>Vorgaben!B7</f>
        <v>A. Staeder</v>
      </c>
      <c r="L22" s="18">
        <f t="shared" si="5"/>
        <v>1</v>
      </c>
      <c r="M22" s="18">
        <f>SUM(I7,H17,H26,H37,I46,I51)</f>
        <v>0</v>
      </c>
      <c r="N22" s="14">
        <f>SUM(G7,E17,E26,E37,G46,G51)</f>
        <v>0</v>
      </c>
      <c r="O22" s="14" t="s">
        <v>7</v>
      </c>
      <c r="P22" s="14">
        <f>SUM(E51,E46,G37,G26,G17,E7)</f>
        <v>1</v>
      </c>
      <c r="Q22" s="14">
        <f t="shared" si="4"/>
        <v>-1</v>
      </c>
      <c r="R22" s="21"/>
      <c r="S22" s="10">
        <f>IF(OR($E7="",$G7=""),0,1)</f>
        <v>0</v>
      </c>
      <c r="T22" s="10">
        <f>IF(OR($E17="",$G17=""),0,1)</f>
        <v>0</v>
      </c>
      <c r="U22" s="10">
        <f>IF(OR($E26="",$G26=""),0,1)</f>
        <v>0</v>
      </c>
      <c r="V22" s="10">
        <f>IF(OR($E37="",$G37=""),0,1)</f>
        <v>0</v>
      </c>
      <c r="W22" s="10">
        <f>IF(OR($E46="",$G46=""),0,1)</f>
        <v>1</v>
      </c>
      <c r="X22" s="10">
        <f>IF(OR($E51="",$G51=""),0,1)</f>
        <v>0</v>
      </c>
    </row>
    <row r="23" spans="1:24" ht="12.75">
      <c r="A23" s="17">
        <f>Spielplan!$B29</f>
        <v>17</v>
      </c>
      <c r="B23" s="62" t="str">
        <f>Spielplan!$E29</f>
        <v>T. Scheithauer</v>
      </c>
      <c r="C23" s="63" t="s">
        <v>6</v>
      </c>
      <c r="D23" s="64" t="str">
        <f>Spielplan!$G29</f>
        <v>A. Langkamp</v>
      </c>
      <c r="E23" s="14">
        <f>IF(Spielplan!$H29="","",Spielplan!$H29)</f>
      </c>
      <c r="F23" s="14" t="s">
        <v>7</v>
      </c>
      <c r="G23" s="14">
        <f>IF(Spielplan!$J29="","",Spielplan!$J29)</f>
      </c>
      <c r="H23" s="56">
        <f>IF(OR($E23="",$G23=""),"",IF(E23&gt;G23,3,IF(E23=G23,1,0)))</f>
      </c>
      <c r="I23" s="56">
        <f>IF(OR($E23="",$G23=""),"",IF(G23&gt;E23,3,IF(E23=G23,1,0)))</f>
      </c>
      <c r="K23" s="65" t="str">
        <f>Vorgaben!B8</f>
        <v>R. Adamowski</v>
      </c>
      <c r="L23" s="18">
        <f>SUM(S23:X23)</f>
        <v>6</v>
      </c>
      <c r="M23" s="18">
        <f>SUM(H22,I27,H32,I41,H46,I56)</f>
        <v>18</v>
      </c>
      <c r="N23" s="14">
        <f>SUM(E22,G27,E32,G41,E46,G56)</f>
        <v>6</v>
      </c>
      <c r="O23" s="14" t="s">
        <v>7</v>
      </c>
      <c r="P23" s="14">
        <f>SUM(G22,E27,G32,E41,G46,E56)</f>
        <v>0</v>
      </c>
      <c r="Q23" s="14">
        <f t="shared" si="4"/>
        <v>6</v>
      </c>
      <c r="S23" s="10">
        <f>IF(OR($E22="",$G22=""),0,1)</f>
        <v>1</v>
      </c>
      <c r="T23" s="10">
        <f>IF(OR($E27="",$G27=""),0,1)</f>
        <v>1</v>
      </c>
      <c r="U23" s="10">
        <f>IF(OR($E32="",$G32=""),0,1)</f>
        <v>1</v>
      </c>
      <c r="V23" s="10">
        <f>IF(OR($E41="",$G41=""),0,1)</f>
        <v>1</v>
      </c>
      <c r="W23" s="10">
        <f>IF(OR($E46="",$G46=""),0,1)</f>
        <v>1</v>
      </c>
      <c r="X23" s="10">
        <f>IF(OR($E56="",$G56=""),0,1)</f>
        <v>1</v>
      </c>
    </row>
    <row r="24" spans="1:18" ht="12.75">
      <c r="A24" s="17">
        <f>Spielplan!$B65</f>
        <v>52</v>
      </c>
      <c r="B24" s="62" t="str">
        <f>Spielplan!$E65</f>
        <v>C. Müller</v>
      </c>
      <c r="C24" s="63" t="s">
        <v>6</v>
      </c>
      <c r="D24" s="64">
        <f>Spielplan!$G65</f>
        <v>0</v>
      </c>
      <c r="E24" s="14">
        <f>IF(Spielplan!$H65="","",Spielplan!$H65)</f>
      </c>
      <c r="F24" s="14" t="s">
        <v>7</v>
      </c>
      <c r="G24" s="14">
        <f>IF(Spielplan!$J65="","",Spielplan!$J65)</f>
      </c>
      <c r="H24" s="56">
        <f>IF(OR($E24="",$G24=""),"",IF(E24&gt;G24,3,IF(E24=G24,1,0)))</f>
      </c>
      <c r="I24" s="56">
        <f>IF(OR($E24="",$G24=""),"",IF(G24&gt;E24,3,IF(E24=G24,1,0)))</f>
      </c>
      <c r="L24" s="18"/>
      <c r="M24" s="18"/>
      <c r="N24" s="14"/>
      <c r="O24" s="14"/>
      <c r="P24" s="14"/>
      <c r="Q24" s="14"/>
      <c r="R24" s="199" t="s">
        <v>70</v>
      </c>
    </row>
    <row r="25" spans="1:21" ht="16.5" customHeight="1">
      <c r="A25" s="17">
        <f>Spielplan!$B59</f>
        <v>33</v>
      </c>
      <c r="B25" s="62" t="str">
        <f>Spielplan!$E59</f>
        <v>T. Pochadt</v>
      </c>
      <c r="C25" s="63" t="s">
        <v>6</v>
      </c>
      <c r="D25" s="64">
        <f>Spielplan!$G59</f>
        <v>0</v>
      </c>
      <c r="E25" s="14">
        <f>IF(Spielplan!$H59="","",Spielplan!$H59)</f>
      </c>
      <c r="F25" s="14" t="s">
        <v>7</v>
      </c>
      <c r="G25" s="14">
        <f>IF(Spielplan!$J59="","",Spielplan!$J59)</f>
      </c>
      <c r="H25" s="56">
        <f>IF(OR($E25="",$G25=""),"",IF(E25&gt;G25,3,IF(E25=G25,1,0)))</f>
      </c>
      <c r="I25" s="56">
        <f>IF(OR($E25="",$G25=""),"",IF(G25&gt;E25,3,IF(E25=G25,1,0)))</f>
      </c>
      <c r="K25" s="123" t="s">
        <v>67</v>
      </c>
      <c r="L25" s="16" t="s">
        <v>15</v>
      </c>
      <c r="M25" s="16" t="s">
        <v>0</v>
      </c>
      <c r="N25" s="200" t="s">
        <v>1</v>
      </c>
      <c r="O25" s="200"/>
      <c r="P25" s="200"/>
      <c r="Q25" s="16" t="s">
        <v>16</v>
      </c>
      <c r="R25" s="199"/>
      <c r="S25" s="10" t="s">
        <v>17</v>
      </c>
      <c r="T25" s="10" t="s">
        <v>18</v>
      </c>
      <c r="U25" s="10" t="s">
        <v>19</v>
      </c>
    </row>
    <row r="26" spans="1:21" ht="12.75">
      <c r="A26" s="17">
        <f>Spielplan!$B47</f>
        <v>35</v>
      </c>
      <c r="B26" s="62" t="str">
        <f>Spielplan!$E47</f>
        <v>A. Staeder</v>
      </c>
      <c r="C26" s="63" t="s">
        <v>6</v>
      </c>
      <c r="D26" s="64" t="str">
        <f>Spielplan!$G47</f>
        <v>M. Hintze</v>
      </c>
      <c r="E26" s="14">
        <f>IF(Spielplan!$H47="","",Spielplan!$H47)</f>
      </c>
      <c r="F26" s="14" t="s">
        <v>7</v>
      </c>
      <c r="G26" s="14">
        <f>IF(Spielplan!$J47="","",Spielplan!$J47)</f>
      </c>
      <c r="H26" s="56">
        <f>IF(OR($E26="",$G26=""),"",IF(E26&gt;G26,3,IF(E26=G26,1,0)))</f>
      </c>
      <c r="I26" s="56">
        <f>IF(OR($E26="",$G26=""),"",IF(G26&gt;E26,3,IF(E26=G26,1,0)))</f>
      </c>
      <c r="J26" s="22"/>
      <c r="K26" s="65" t="str">
        <f>Spielplan!A72</f>
        <v>1. Gruppe A</v>
      </c>
      <c r="L26" s="18">
        <f>SUM(S26:U26)</f>
        <v>0</v>
      </c>
      <c r="M26" s="18">
        <f>SUM(H60,H64,H68)</f>
        <v>0</v>
      </c>
      <c r="N26" s="14">
        <f>SUM(E60,E64,E68)</f>
        <v>0</v>
      </c>
      <c r="O26" s="14" t="s">
        <v>7</v>
      </c>
      <c r="P26" s="14">
        <f>SUM(G60,G64,G68)</f>
        <v>0</v>
      </c>
      <c r="Q26" s="14">
        <f>N26-P26</f>
        <v>0</v>
      </c>
      <c r="R26" s="10">
        <f>SUM(L26:L30)/2</f>
        <v>0</v>
      </c>
      <c r="S26" s="10">
        <f>IF(OR($E60="",$G60=""),0,1)</f>
        <v>0</v>
      </c>
      <c r="T26" s="10">
        <f>IF(OR($E64="",$G64=""),0,1)</f>
        <v>0</v>
      </c>
      <c r="U26" s="10">
        <f>IF(OR($E68="",$G68=""),0,1)</f>
        <v>0</v>
      </c>
    </row>
    <row r="27" spans="1:21" ht="12.75">
      <c r="A27" s="17">
        <f>Spielplan!$B48</f>
        <v>36</v>
      </c>
      <c r="B27" s="62" t="str">
        <f>Spielplan!$E48</f>
        <v>A. Wenzel</v>
      </c>
      <c r="C27" s="63" t="s">
        <v>6</v>
      </c>
      <c r="D27" s="64" t="str">
        <f>Spielplan!$G48</f>
        <v>R. Adamowski</v>
      </c>
      <c r="E27" s="14">
        <f>IF(Spielplan!$H48="","",Spielplan!$H48)</f>
        <v>0</v>
      </c>
      <c r="F27" s="14" t="s">
        <v>7</v>
      </c>
      <c r="G27" s="14">
        <f>IF(Spielplan!$J48="","",Spielplan!$J48)</f>
        <v>1</v>
      </c>
      <c r="H27" s="56">
        <f aca="true" t="shared" si="6" ref="H27:H54">IF(OR($E27="",$G27=""),"",IF(E27&gt;G27,3,IF(E27=G27,1,0)))</f>
        <v>0</v>
      </c>
      <c r="I27" s="56">
        <f aca="true" t="shared" si="7" ref="I27:I54">IF(OR($E27="",$G27=""),"",IF(G27&gt;E27,3,IF(E27=G27,1,0)))</f>
        <v>3</v>
      </c>
      <c r="K27" s="65" t="str">
        <f>Spielplan!A74</f>
        <v>2. Gruppe A</v>
      </c>
      <c r="L27" s="18">
        <f>SUM(S27:U27)</f>
        <v>0</v>
      </c>
      <c r="M27" s="18">
        <f>SUM(I60,H65,H69)</f>
        <v>0</v>
      </c>
      <c r="N27" s="14">
        <f>SUM(G60,E65,E69)</f>
        <v>0</v>
      </c>
      <c r="O27" s="14" t="s">
        <v>7</v>
      </c>
      <c r="P27" s="14">
        <f>SUM(E60,G65,G69)</f>
        <v>0</v>
      </c>
      <c r="Q27" s="14">
        <f>N27-P27</f>
        <v>0</v>
      </c>
      <c r="S27" s="10">
        <f>IF(OR($E60="",$G60=""),0,1)</f>
        <v>0</v>
      </c>
      <c r="T27" s="10">
        <f>IF(OR($E65="",$G65=""),0,1)</f>
        <v>0</v>
      </c>
      <c r="U27" s="10">
        <f>IF(OR($E69="",$G69=""),0,1)</f>
        <v>0</v>
      </c>
    </row>
    <row r="28" spans="1:21" ht="12.75">
      <c r="A28" s="17">
        <f>Spielplan!$B18</f>
        <v>6</v>
      </c>
      <c r="B28" s="62" t="str">
        <f>Spielplan!$E18</f>
        <v>Dr. E. Eschbach</v>
      </c>
      <c r="C28" s="63" t="s">
        <v>6</v>
      </c>
      <c r="D28" s="64" t="str">
        <f>Spielplan!$G18</f>
        <v>M. Maart</v>
      </c>
      <c r="E28" s="14">
        <f>IF(Spielplan!$H18="","",Spielplan!$H18)</f>
      </c>
      <c r="F28" s="14" t="s">
        <v>7</v>
      </c>
      <c r="G28" s="14">
        <f>IF(Spielplan!$J18="","",Spielplan!$J18)</f>
      </c>
      <c r="H28" s="56">
        <f t="shared" si="6"/>
      </c>
      <c r="I28" s="56">
        <f t="shared" si="7"/>
      </c>
      <c r="K28" s="65" t="str">
        <f>Spielplan!A76</f>
        <v>3. Gruppe B</v>
      </c>
      <c r="L28" s="18">
        <f>SUM(S28:U28)</f>
        <v>0</v>
      </c>
      <c r="M28" s="18">
        <f>SUM(H61,I65,I68)</f>
        <v>0</v>
      </c>
      <c r="N28" s="14">
        <f>SUM(E61,G65,G68)</f>
        <v>0</v>
      </c>
      <c r="O28" s="14" t="s">
        <v>7</v>
      </c>
      <c r="P28" s="14">
        <f>SUM(G61,E65,E68)</f>
        <v>0</v>
      </c>
      <c r="Q28" s="14">
        <f>N28-P28</f>
        <v>0</v>
      </c>
      <c r="S28" s="10">
        <f>IF(OR($E61="",$G61=""),0,1)</f>
        <v>0</v>
      </c>
      <c r="T28" s="10">
        <f>IF(OR($E65="",$G65=""),0,1)</f>
        <v>0</v>
      </c>
      <c r="U28" s="10">
        <f>IF(OR($E68="",$G68=""),0,1)</f>
        <v>0</v>
      </c>
    </row>
    <row r="29" spans="1:21" ht="12.75">
      <c r="A29" s="17">
        <f>Spielplan!$B61</f>
        <v>43</v>
      </c>
      <c r="B29" s="62" t="str">
        <f>Spielplan!$E61</f>
        <v>T. Scheithauer</v>
      </c>
      <c r="C29" s="63" t="s">
        <v>6</v>
      </c>
      <c r="D29" s="64">
        <f>Spielplan!$G61</f>
        <v>0</v>
      </c>
      <c r="E29" s="14">
        <f>IF(Spielplan!$H61="","",Spielplan!$H61)</f>
      </c>
      <c r="F29" s="14" t="s">
        <v>7</v>
      </c>
      <c r="G29" s="14">
        <f>IF(Spielplan!$J61="","",Spielplan!$J61)</f>
      </c>
      <c r="H29" s="56">
        <f t="shared" si="6"/>
      </c>
      <c r="I29" s="56">
        <f t="shared" si="7"/>
      </c>
      <c r="K29" s="65" t="str">
        <f>Spielplan!A78</f>
        <v>4. Gruppe B</v>
      </c>
      <c r="L29" s="18">
        <f>SUM(S29:U29)</f>
        <v>0</v>
      </c>
      <c r="M29" s="18">
        <f>SUM(I61,I64,I69)</f>
        <v>0</v>
      </c>
      <c r="N29" s="14">
        <f>SUM(G61,G64,G69)</f>
        <v>0</v>
      </c>
      <c r="O29" s="14" t="s">
        <v>7</v>
      </c>
      <c r="P29" s="14">
        <f>SUM(E61,E64,E69)</f>
        <v>0</v>
      </c>
      <c r="Q29" s="14">
        <f>N29-P29</f>
        <v>0</v>
      </c>
      <c r="S29" s="10">
        <f>IF(OR($E61="",$G61=""),0,1)</f>
        <v>0</v>
      </c>
      <c r="T29" s="10">
        <f>IF(OR($E64="",$G64=""),0,1)</f>
        <v>0</v>
      </c>
      <c r="U29" s="10">
        <f>IF(OR($E69="",$G69=""),0,1)</f>
        <v>0</v>
      </c>
    </row>
    <row r="30" spans="1:18" ht="12.75">
      <c r="A30" s="17">
        <f>Spielplan!$B45</f>
        <v>33</v>
      </c>
      <c r="B30" s="62" t="str">
        <f>Spielplan!$E45</f>
        <v>D. Rehbock</v>
      </c>
      <c r="C30" s="63" t="s">
        <v>6</v>
      </c>
      <c r="D30" s="64" t="str">
        <f>Spielplan!$G45</f>
        <v>T. Pochadt</v>
      </c>
      <c r="E30" s="14">
        <f>IF(Spielplan!$H45="","",Spielplan!$H45)</f>
      </c>
      <c r="F30" s="14" t="s">
        <v>7</v>
      </c>
      <c r="G30" s="14">
        <f>IF(Spielplan!$J45="","",Spielplan!$J45)</f>
      </c>
      <c r="H30" s="56">
        <f t="shared" si="6"/>
      </c>
      <c r="I30" s="56">
        <f t="shared" si="7"/>
      </c>
      <c r="K30" s="201" t="s">
        <v>68</v>
      </c>
      <c r="L30" s="202" t="s">
        <v>15</v>
      </c>
      <c r="M30" s="202" t="s">
        <v>0</v>
      </c>
      <c r="N30" s="202" t="s">
        <v>1</v>
      </c>
      <c r="O30" s="202"/>
      <c r="P30" s="202"/>
      <c r="Q30" s="202" t="s">
        <v>16</v>
      </c>
      <c r="R30" s="199" t="s">
        <v>71</v>
      </c>
    </row>
    <row r="31" spans="1:18" ht="12.75" customHeight="1">
      <c r="A31" s="17">
        <f>Spielplan!$B40</f>
        <v>28</v>
      </c>
      <c r="B31" s="62" t="str">
        <f>Spielplan!$E40</f>
        <v>T. Büchner</v>
      </c>
      <c r="C31" s="63" t="s">
        <v>6</v>
      </c>
      <c r="D31" s="64" t="str">
        <f>Spielplan!$G40</f>
        <v>M. Hintze</v>
      </c>
      <c r="E31" s="14">
        <f>IF(Spielplan!$H40="","",Spielplan!$H40)</f>
      </c>
      <c r="F31" s="14" t="s">
        <v>7</v>
      </c>
      <c r="G31" s="14">
        <f>IF(Spielplan!$J40="","",Spielplan!$J40)</f>
      </c>
      <c r="H31" s="56">
        <f t="shared" si="6"/>
      </c>
      <c r="I31" s="56">
        <f t="shared" si="7"/>
      </c>
      <c r="K31" s="201"/>
      <c r="L31" s="202"/>
      <c r="M31" s="202"/>
      <c r="N31" s="202"/>
      <c r="O31" s="202"/>
      <c r="P31" s="202"/>
      <c r="Q31" s="202"/>
      <c r="R31" s="199"/>
    </row>
    <row r="32" spans="1:21" ht="14.25" customHeight="1">
      <c r="A32" s="17">
        <f>Spielplan!$B52</f>
        <v>40</v>
      </c>
      <c r="B32" s="62" t="str">
        <f>Spielplan!$E52</f>
        <v>R. Adamowski</v>
      </c>
      <c r="C32" s="63" t="s">
        <v>6</v>
      </c>
      <c r="D32" s="64" t="str">
        <f>Spielplan!$G52</f>
        <v>R. Breitenstein</v>
      </c>
      <c r="E32" s="14">
        <f>IF(Spielplan!$H52="","",Spielplan!$H52)</f>
        <v>1</v>
      </c>
      <c r="F32" s="14" t="s">
        <v>7</v>
      </c>
      <c r="G32" s="14">
        <f>IF(Spielplan!$J52="","",Spielplan!$J52)</f>
        <v>0</v>
      </c>
      <c r="H32" s="56">
        <f t="shared" si="6"/>
        <v>3</v>
      </c>
      <c r="I32" s="56">
        <f t="shared" si="7"/>
        <v>0</v>
      </c>
      <c r="K32" s="65" t="str">
        <f>Spielplan!G72</f>
        <v>1. Gruppe B</v>
      </c>
      <c r="L32" s="18">
        <f>SUM(S32:U32)</f>
        <v>1</v>
      </c>
      <c r="M32" s="18">
        <f>SUM(H62,H67,H70)</f>
        <v>0</v>
      </c>
      <c r="N32" s="14">
        <f>SUM(E62,E67,E70)</f>
        <v>0</v>
      </c>
      <c r="O32" s="14" t="s">
        <v>7</v>
      </c>
      <c r="P32" s="14">
        <f>SUM(G62,G67,G70)</f>
        <v>1</v>
      </c>
      <c r="Q32" s="14">
        <f>N32-P32</f>
        <v>-1</v>
      </c>
      <c r="R32" s="10">
        <f>SUM(L32:L38)/2</f>
        <v>3</v>
      </c>
      <c r="S32" s="10">
        <f>IF(OR($E62="",$G62=""),0,1)</f>
        <v>0</v>
      </c>
      <c r="T32" s="10">
        <f>IF(OR($E67="",$G67=""),0,1)</f>
        <v>0</v>
      </c>
      <c r="U32" s="10">
        <f>IF(OR($E70="",$G70=""),0,1)</f>
        <v>1</v>
      </c>
    </row>
    <row r="33" spans="1:21" ht="12.75">
      <c r="A33" s="17">
        <f>Spielplan!$B22</f>
        <v>10</v>
      </c>
      <c r="B33" s="62" t="str">
        <f>Spielplan!$E22</f>
        <v>A. Langkamp</v>
      </c>
      <c r="C33" s="63" t="s">
        <v>6</v>
      </c>
      <c r="D33" s="64" t="str">
        <f>Spielplan!$G22</f>
        <v>C. Müller</v>
      </c>
      <c r="E33" s="14">
        <f>IF(Spielplan!$H22="","",Spielplan!$H22)</f>
      </c>
      <c r="F33" s="14" t="s">
        <v>7</v>
      </c>
      <c r="G33" s="14">
        <f>IF(Spielplan!$J22="","",Spielplan!$J22)</f>
      </c>
      <c r="H33" s="56">
        <f t="shared" si="6"/>
      </c>
      <c r="I33" s="56">
        <f t="shared" si="7"/>
      </c>
      <c r="K33" s="65" t="str">
        <f>Spielplan!G74</f>
        <v>2. Gruppe B</v>
      </c>
      <c r="L33" s="18">
        <f>SUM(S33:U33)</f>
        <v>1</v>
      </c>
      <c r="M33" s="18">
        <f>SUM(I62,H66,H71)</f>
        <v>0</v>
      </c>
      <c r="N33" s="14">
        <f>SUM(G62,E66,E71)</f>
        <v>0</v>
      </c>
      <c r="O33" s="14" t="s">
        <v>7</v>
      </c>
      <c r="P33" s="14">
        <f>SUM(E62,G66,G71)</f>
        <v>1</v>
      </c>
      <c r="Q33" s="14">
        <f>N33-P33</f>
        <v>-1</v>
      </c>
      <c r="R33" s="21"/>
      <c r="S33" s="10">
        <f>IF(OR($E62="",$G62=""),0,1)</f>
        <v>0</v>
      </c>
      <c r="T33" s="10">
        <f>IF(OR($E66="",$G66=""),0,1)</f>
        <v>1</v>
      </c>
      <c r="U33" s="10">
        <f>IF(OR($E71="",$G71=""),0,1)</f>
        <v>0</v>
      </c>
    </row>
    <row r="34" spans="1:21" ht="12.75">
      <c r="A34" s="17">
        <f>Spielplan!$B50</f>
        <v>38</v>
      </c>
      <c r="B34" s="62" t="str">
        <f>Spielplan!$E50</f>
        <v>Dr. E. Eschbach</v>
      </c>
      <c r="C34" s="63" t="s">
        <v>6</v>
      </c>
      <c r="D34" s="64" t="str">
        <f>Spielplan!$G50</f>
        <v>T. Scheithauer</v>
      </c>
      <c r="E34" s="14">
        <f>IF(Spielplan!$H50="","",Spielplan!$H50)</f>
      </c>
      <c r="F34" s="14" t="s">
        <v>7</v>
      </c>
      <c r="G34" s="14">
        <f>IF(Spielplan!$J50="","",Spielplan!$J50)</f>
      </c>
      <c r="H34" s="56">
        <f t="shared" si="6"/>
      </c>
      <c r="I34" s="56">
        <f t="shared" si="7"/>
      </c>
      <c r="K34" s="65" t="str">
        <f>Spielplan!G76</f>
        <v>3. Gruppe A</v>
      </c>
      <c r="L34" s="18">
        <f>SUM(S34:U34)</f>
        <v>1</v>
      </c>
      <c r="M34" s="18">
        <f>SUM(H63,I67,I71)</f>
        <v>0</v>
      </c>
      <c r="N34" s="14">
        <f>SUM(E63,G67,G71)</f>
        <v>0</v>
      </c>
      <c r="O34" s="14" t="s">
        <v>7</v>
      </c>
      <c r="P34" s="14">
        <f>SUM(G63,E67,E71)</f>
        <v>1</v>
      </c>
      <c r="Q34" s="14">
        <f>N34-P34</f>
        <v>-1</v>
      </c>
      <c r="S34" s="10">
        <f>IF(OR($E63="",$G63=""),0,1)</f>
        <v>1</v>
      </c>
      <c r="T34" s="10">
        <f>IF(OR($E67="",$G67=""),0,1)</f>
        <v>0</v>
      </c>
      <c r="U34" s="10">
        <f>IF(OR($E71="",$G71=""),0,1)</f>
        <v>0</v>
      </c>
    </row>
    <row r="35" spans="1:21" ht="12.75">
      <c r="A35" s="17">
        <f>Spielplan!$B68</f>
        <v>8</v>
      </c>
      <c r="B35" s="62">
        <f>Spielplan!$E68</f>
        <v>0</v>
      </c>
      <c r="C35" s="63" t="s">
        <v>6</v>
      </c>
      <c r="D35" s="64" t="str">
        <f>Spielplan!$G68</f>
        <v>M. Maart</v>
      </c>
      <c r="E35" s="14">
        <f>IF(Spielplan!$H68="","",Spielplan!$H68)</f>
      </c>
      <c r="F35" s="14" t="s">
        <v>7</v>
      </c>
      <c r="G35" s="14">
        <f>IF(Spielplan!$J68="","",Spielplan!$J68)</f>
      </c>
      <c r="H35" s="56">
        <f t="shared" si="6"/>
      </c>
      <c r="I35" s="56">
        <f t="shared" si="7"/>
      </c>
      <c r="K35" s="65" t="str">
        <f>Spielplan!G78</f>
        <v>4. Gruppe A</v>
      </c>
      <c r="L35" s="18">
        <f>SUM(S35:U35)</f>
        <v>3</v>
      </c>
      <c r="M35" s="18">
        <f>SUM(I63,I66,I70)</f>
        <v>9</v>
      </c>
      <c r="N35" s="14">
        <f>SUM(G63,G66,G70)</f>
        <v>3</v>
      </c>
      <c r="O35" s="14" t="s">
        <v>7</v>
      </c>
      <c r="P35" s="14">
        <f>SUM(E63,E66,E70)</f>
        <v>0</v>
      </c>
      <c r="Q35" s="14">
        <f>N35-P35</f>
        <v>3</v>
      </c>
      <c r="S35" s="10">
        <f>IF(OR($E63="",$G63=""),0,1)</f>
        <v>1</v>
      </c>
      <c r="T35" s="10">
        <f>IF(OR($E66="",$G66=""),0,1)</f>
        <v>1</v>
      </c>
      <c r="U35" s="10">
        <f>IF(OR($E70="",$G70=""),0,1)</f>
        <v>1</v>
      </c>
    </row>
    <row r="36" spans="1:9" ht="12.75">
      <c r="A36" s="17">
        <f>Spielplan!$B24</f>
        <v>12</v>
      </c>
      <c r="B36" s="62" t="str">
        <f>Spielplan!$E24</f>
        <v>J. Meyer</v>
      </c>
      <c r="C36" s="63" t="s">
        <v>6</v>
      </c>
      <c r="D36" s="64" t="str">
        <f>Spielplan!$G24</f>
        <v>A. Wenzel</v>
      </c>
      <c r="E36" s="14">
        <f>IF(Spielplan!$H24="","",Spielplan!$H24)</f>
      </c>
      <c r="F36" s="14" t="s">
        <v>7</v>
      </c>
      <c r="G36" s="14">
        <f>IF(Spielplan!$J24="","",Spielplan!$J24)</f>
      </c>
      <c r="H36" s="56">
        <f t="shared" si="6"/>
      </c>
      <c r="I36" s="56">
        <f t="shared" si="7"/>
      </c>
    </row>
    <row r="37" spans="1:9" ht="12.75">
      <c r="A37" s="17">
        <f>Spielplan!$B36</f>
        <v>24</v>
      </c>
      <c r="B37" s="62" t="str">
        <f>Spielplan!$E36</f>
        <v>A. Staeder</v>
      </c>
      <c r="C37" s="63" t="s">
        <v>6</v>
      </c>
      <c r="D37" s="64" t="str">
        <f>Spielplan!$G36</f>
        <v>R. Breitenstein</v>
      </c>
      <c r="E37" s="14">
        <f>IF(Spielplan!$H36="","",Spielplan!$H36)</f>
      </c>
      <c r="F37" s="14" t="s">
        <v>7</v>
      </c>
      <c r="G37" s="14">
        <f>IF(Spielplan!$J36="","",Spielplan!$J36)</f>
      </c>
      <c r="H37" s="56">
        <f t="shared" si="6"/>
      </c>
      <c r="I37" s="56">
        <f t="shared" si="7"/>
      </c>
    </row>
    <row r="38" spans="1:9" ht="12.75" hidden="1">
      <c r="A38" s="17">
        <f>Spielplan!$B62</f>
        <v>42</v>
      </c>
      <c r="B38" s="62">
        <f>Spielplan!$E62</f>
        <v>0</v>
      </c>
      <c r="C38" s="63" t="s">
        <v>6</v>
      </c>
      <c r="D38" s="64" t="str">
        <f>Spielplan!$G62</f>
        <v>D. Rehbock</v>
      </c>
      <c r="E38" s="14">
        <f>IF(Spielplan!$H62="","",Spielplan!$H62)</f>
      </c>
      <c r="F38" s="14" t="s">
        <v>7</v>
      </c>
      <c r="G38" s="14">
        <f>IF(Spielplan!$J62="","",Spielplan!$J62)</f>
      </c>
      <c r="H38" s="56">
        <f t="shared" si="6"/>
      </c>
      <c r="I38" s="56">
        <f t="shared" si="7"/>
      </c>
    </row>
    <row r="39" spans="1:9" ht="12.75">
      <c r="A39" s="17">
        <f>Spielplan!$B14</f>
        <v>2</v>
      </c>
      <c r="B39" s="62" t="str">
        <f>Spielplan!$E14</f>
        <v>A. Langkamp</v>
      </c>
      <c r="C39" s="63" t="s">
        <v>6</v>
      </c>
      <c r="D39" s="64" t="str">
        <f>Spielplan!$G14</f>
        <v>T. Pochadt</v>
      </c>
      <c r="E39" s="14">
        <f>IF(Spielplan!$H14="","",Spielplan!$H14)</f>
      </c>
      <c r="F39" s="14" t="s">
        <v>7</v>
      </c>
      <c r="G39" s="14">
        <f>IF(Spielplan!$J14="","",Spielplan!$J14)</f>
      </c>
      <c r="H39" s="56">
        <f t="shared" si="6"/>
      </c>
      <c r="I39" s="56">
        <f t="shared" si="7"/>
      </c>
    </row>
    <row r="40" spans="1:9" ht="12.75">
      <c r="A40" s="17">
        <f>Spielplan!$B41</f>
        <v>29</v>
      </c>
      <c r="B40" s="62" t="str">
        <f>Spielplan!$E41</f>
        <v>C. Müller</v>
      </c>
      <c r="C40" s="63" t="s">
        <v>6</v>
      </c>
      <c r="D40" s="64" t="str">
        <f>Spielplan!$G41</f>
        <v>T. Scheithauer</v>
      </c>
      <c r="E40" s="14">
        <f>IF(Spielplan!$H41="","",Spielplan!$H41)</f>
      </c>
      <c r="F40" s="14" t="s">
        <v>7</v>
      </c>
      <c r="G40" s="14">
        <f>IF(Spielplan!$J41="","",Spielplan!$J41)</f>
      </c>
      <c r="H40" s="56">
        <f t="shared" si="6"/>
      </c>
      <c r="I40" s="56">
        <f t="shared" si="7"/>
      </c>
    </row>
    <row r="41" spans="1:9" ht="12.75">
      <c r="A41" s="17">
        <f>Spielplan!$B20</f>
        <v>8</v>
      </c>
      <c r="B41" s="62" t="str">
        <f>Spielplan!$E20</f>
        <v>T. Büchner</v>
      </c>
      <c r="C41" s="63" t="s">
        <v>6</v>
      </c>
      <c r="D41" s="64" t="str">
        <f>Spielplan!$G20</f>
        <v>R. Adamowski</v>
      </c>
      <c r="E41" s="14">
        <f>IF(Spielplan!$H20="","",Spielplan!$H20)</f>
        <v>0</v>
      </c>
      <c r="F41" s="14" t="s">
        <v>7</v>
      </c>
      <c r="G41" s="14">
        <f>IF(Spielplan!$J20="","",Spielplan!$J20)</f>
        <v>1</v>
      </c>
      <c r="H41" s="56">
        <f t="shared" si="6"/>
        <v>0</v>
      </c>
      <c r="I41" s="56">
        <f t="shared" si="7"/>
        <v>3</v>
      </c>
    </row>
    <row r="42" spans="1:9" ht="12.75">
      <c r="A42" s="17">
        <f>Spielplan!$B16</f>
        <v>4</v>
      </c>
      <c r="B42" s="62" t="str">
        <f>Spielplan!$E16</f>
        <v>M. Hintze</v>
      </c>
      <c r="C42" s="63" t="s">
        <v>6</v>
      </c>
      <c r="D42" s="64" t="str">
        <f>Spielplan!$G16</f>
        <v>J. Meyer</v>
      </c>
      <c r="E42" s="14">
        <f>IF(Spielplan!$H16="","",Spielplan!$H16)</f>
      </c>
      <c r="F42" s="14" t="s">
        <v>7</v>
      </c>
      <c r="G42" s="14">
        <f>IF(Spielplan!$J16="","",Spielplan!$J16)</f>
      </c>
      <c r="H42" s="56">
        <f t="shared" si="6"/>
      </c>
      <c r="I42" s="56">
        <f t="shared" si="7"/>
      </c>
    </row>
    <row r="43" spans="1:9" ht="12.75" hidden="1">
      <c r="A43" s="17">
        <f>Spielplan!$B55</f>
        <v>20</v>
      </c>
      <c r="B43" s="62">
        <f>Spielplan!$E55</f>
        <v>0</v>
      </c>
      <c r="C43" s="63" t="s">
        <v>6</v>
      </c>
      <c r="D43" s="64" t="str">
        <f>Spielplan!$G55</f>
        <v>Dr. E. Eschbach</v>
      </c>
      <c r="E43" s="14">
        <f>IF(Spielplan!$H55="","",Spielplan!$H55)</f>
      </c>
      <c r="F43" s="14" t="s">
        <v>7</v>
      </c>
      <c r="G43" s="14">
        <f>IF(Spielplan!$J55="","",Spielplan!$J55)</f>
      </c>
      <c r="H43" s="56">
        <f t="shared" si="6"/>
      </c>
      <c r="I43" s="56">
        <f t="shared" si="7"/>
      </c>
    </row>
    <row r="44" spans="1:9" ht="12.75" hidden="1">
      <c r="A44" s="17">
        <f>Spielplan!$B66</f>
        <v>55</v>
      </c>
      <c r="B44" s="62">
        <f>Spielplan!$E66</f>
        <v>0</v>
      </c>
      <c r="C44" s="63" t="s">
        <v>6</v>
      </c>
      <c r="D44" s="64" t="str">
        <f>Spielplan!$G66</f>
        <v>A. Langkamp</v>
      </c>
      <c r="E44" s="14">
        <f>IF(Spielplan!$H66="","",Spielplan!$H66)</f>
      </c>
      <c r="F44" s="14" t="s">
        <v>7</v>
      </c>
      <c r="G44" s="14">
        <f>IF(Spielplan!$J66="","",Spielplan!$J66)</f>
      </c>
      <c r="H44" s="56">
        <f t="shared" si="6"/>
      </c>
      <c r="I44" s="56">
        <f t="shared" si="7"/>
      </c>
    </row>
    <row r="45" spans="1:9" ht="12.75">
      <c r="A45" s="17">
        <f>Spielplan!$B37</f>
        <v>25</v>
      </c>
      <c r="B45" s="62" t="str">
        <f>Spielplan!$E37</f>
        <v>M. Maart</v>
      </c>
      <c r="C45" s="63" t="s">
        <v>6</v>
      </c>
      <c r="D45" s="64" t="str">
        <f>Spielplan!$G37</f>
        <v>T. Pochadt</v>
      </c>
      <c r="E45" s="14">
        <f>IF(Spielplan!$H37="","",Spielplan!$H37)</f>
      </c>
      <c r="F45" s="14" t="s">
        <v>7</v>
      </c>
      <c r="G45" s="14">
        <f>IF(Spielplan!$J37="","",Spielplan!$J37)</f>
      </c>
      <c r="H45" s="56">
        <f t="shared" si="6"/>
      </c>
      <c r="I45" s="56">
        <f t="shared" si="7"/>
      </c>
    </row>
    <row r="46" spans="1:9" ht="12.75">
      <c r="A46" s="17">
        <f>Spielplan!$B39</f>
        <v>27</v>
      </c>
      <c r="B46" s="62" t="str">
        <f>Spielplan!$E39</f>
        <v>R. Adamowski</v>
      </c>
      <c r="C46" s="63" t="s">
        <v>6</v>
      </c>
      <c r="D46" s="64" t="str">
        <f>Spielplan!$G39</f>
        <v>A. Staeder</v>
      </c>
      <c r="E46" s="14">
        <f>IF(Spielplan!$H39="","",Spielplan!$H39)</f>
        <v>1</v>
      </c>
      <c r="F46" s="14" t="s">
        <v>7</v>
      </c>
      <c r="G46" s="14">
        <f>IF(Spielplan!$J39="","",Spielplan!$J39)</f>
        <v>0</v>
      </c>
      <c r="H46" s="56">
        <f t="shared" si="6"/>
        <v>3</v>
      </c>
      <c r="I46" s="56">
        <f t="shared" si="7"/>
        <v>0</v>
      </c>
    </row>
    <row r="47" spans="1:9" ht="12.75">
      <c r="A47" s="17">
        <f>Spielplan!$B43</f>
        <v>31</v>
      </c>
      <c r="B47" s="62" t="str">
        <f>Spielplan!$E43</f>
        <v>A. Wenzel</v>
      </c>
      <c r="C47" s="63" t="s">
        <v>6</v>
      </c>
      <c r="D47" s="64" t="str">
        <f>Spielplan!$G43</f>
        <v>R. Breitenstein</v>
      </c>
      <c r="E47" s="14">
        <f>IF(Spielplan!$H43="","",Spielplan!$H43)</f>
      </c>
      <c r="F47" s="14" t="s">
        <v>7</v>
      </c>
      <c r="G47" s="14">
        <f>IF(Spielplan!$J43="","",Spielplan!$J43)</f>
      </c>
      <c r="H47" s="56">
        <f t="shared" si="6"/>
      </c>
      <c r="I47" s="56">
        <f t="shared" si="7"/>
      </c>
    </row>
    <row r="48" spans="1:9" ht="12.75">
      <c r="A48" s="17">
        <f>Spielplan!$B17</f>
        <v>5</v>
      </c>
      <c r="B48" s="62" t="str">
        <f>Spielplan!$E17</f>
        <v>D. Rehbock</v>
      </c>
      <c r="C48" s="63" t="s">
        <v>6</v>
      </c>
      <c r="D48" s="64" t="str">
        <f>Spielplan!$G17</f>
        <v>C. Müller</v>
      </c>
      <c r="E48" s="14">
        <f>IF(Spielplan!$H17="","",Spielplan!$H17)</f>
      </c>
      <c r="F48" s="14" t="s">
        <v>7</v>
      </c>
      <c r="G48" s="14">
        <f>IF(Spielplan!$J17="","",Spielplan!$J17)</f>
      </c>
      <c r="H48" s="56">
        <f t="shared" si="6"/>
      </c>
      <c r="I48" s="56">
        <f t="shared" si="7"/>
      </c>
    </row>
    <row r="49" spans="1:9" ht="12.75" hidden="1">
      <c r="A49" s="17">
        <f>Spielplan!$B64</f>
        <v>49</v>
      </c>
      <c r="B49" s="62" t="str">
        <f>Spielplan!$E64</f>
        <v>T. Scheithauer</v>
      </c>
      <c r="C49" s="63" t="s">
        <v>6</v>
      </c>
      <c r="D49" s="64">
        <f>Spielplan!$G64</f>
        <v>0</v>
      </c>
      <c r="E49" s="14">
        <f>IF(Spielplan!$H64="","",Spielplan!$H64)</f>
      </c>
      <c r="F49" s="14" t="s">
        <v>7</v>
      </c>
      <c r="G49" s="14">
        <f>IF(Spielplan!$J64="","",Spielplan!$J64)</f>
      </c>
      <c r="H49" s="56">
        <f t="shared" si="6"/>
      </c>
      <c r="I49" s="56">
        <f t="shared" si="7"/>
      </c>
    </row>
    <row r="50" spans="1:9" ht="12.75" hidden="1">
      <c r="A50" s="17">
        <f>Spielplan!$B33</f>
        <v>21</v>
      </c>
      <c r="B50" s="62" t="str">
        <f>Spielplan!$E33</f>
        <v>A. Langkamp</v>
      </c>
      <c r="C50" s="63" t="s">
        <v>6</v>
      </c>
      <c r="D50" s="64" t="str">
        <f>Spielplan!$G33</f>
        <v>Dr. E. Eschbach</v>
      </c>
      <c r="E50" s="14">
        <f>IF(Spielplan!$H33="","",Spielplan!$H33)</f>
      </c>
      <c r="F50" s="14" t="s">
        <v>7</v>
      </c>
      <c r="G50" s="14">
        <f>IF(Spielplan!$J33="","",Spielplan!$J33)</f>
      </c>
      <c r="H50" s="56">
        <f t="shared" si="6"/>
      </c>
      <c r="I50" s="56">
        <f t="shared" si="7"/>
      </c>
    </row>
    <row r="51" spans="1:9" ht="12.75">
      <c r="A51" s="17">
        <f>Spielplan!$B51</f>
        <v>39</v>
      </c>
      <c r="B51" s="62" t="str">
        <f>Spielplan!$E51</f>
        <v>J. Meyer</v>
      </c>
      <c r="C51" s="63" t="s">
        <v>6</v>
      </c>
      <c r="D51" s="64" t="str">
        <f>Spielplan!$G51</f>
        <v>A. Staeder</v>
      </c>
      <c r="E51" s="14">
        <f>IF(Spielplan!$H51="","",Spielplan!$H51)</f>
      </c>
      <c r="F51" s="14" t="s">
        <v>7</v>
      </c>
      <c r="G51" s="14">
        <f>IF(Spielplan!$J51="","",Spielplan!$J51)</f>
      </c>
      <c r="H51" s="56">
        <f t="shared" si="6"/>
      </c>
      <c r="I51" s="56">
        <f t="shared" si="7"/>
      </c>
    </row>
    <row r="52" spans="1:9" ht="12.75">
      <c r="A52" s="17">
        <f>Spielplan!$B32</f>
        <v>20</v>
      </c>
      <c r="B52" s="62" t="str">
        <f>Spielplan!$E32</f>
        <v>A. Wenzel</v>
      </c>
      <c r="C52" s="63" t="s">
        <v>6</v>
      </c>
      <c r="D52" s="64" t="str">
        <f>Spielplan!$G32</f>
        <v>T. Büchner</v>
      </c>
      <c r="E52" s="14">
        <f>IF(Spielplan!$H32="","",Spielplan!$H32)</f>
      </c>
      <c r="F52" s="14" t="s">
        <v>7</v>
      </c>
      <c r="G52" s="14">
        <f>IF(Spielplan!$J32="","",Spielplan!$J32)</f>
      </c>
      <c r="H52" s="56">
        <f t="shared" si="6"/>
      </c>
      <c r="I52" s="56">
        <f t="shared" si="7"/>
      </c>
    </row>
    <row r="53" spans="1:9" ht="12.75" hidden="1">
      <c r="A53" s="17">
        <f>Spielplan!$B63</f>
        <v>48</v>
      </c>
      <c r="B53" s="62">
        <f>Spielplan!$E63</f>
        <v>0</v>
      </c>
      <c r="C53" s="63" t="s">
        <v>6</v>
      </c>
      <c r="D53" s="64" t="str">
        <f>Spielplan!$G63</f>
        <v>D. Rehbock</v>
      </c>
      <c r="E53" s="14">
        <f>IF(Spielplan!$H63="","",Spielplan!$H63)</f>
      </c>
      <c r="F53" s="14" t="s">
        <v>7</v>
      </c>
      <c r="G53" s="14">
        <f>IF(Spielplan!$J63="","",Spielplan!$J63)</f>
      </c>
      <c r="H53" s="56">
        <f t="shared" si="6"/>
      </c>
      <c r="I53" s="56">
        <f t="shared" si="7"/>
      </c>
    </row>
    <row r="54" spans="1:9" ht="12.75">
      <c r="A54" s="17">
        <f>Spielplan!$B21</f>
        <v>9</v>
      </c>
      <c r="B54" s="62" t="str">
        <f>Spielplan!$E21</f>
        <v>T. Pochadt</v>
      </c>
      <c r="C54" s="63" t="s">
        <v>6</v>
      </c>
      <c r="D54" s="64" t="str">
        <f>Spielplan!$G21</f>
        <v>T. Scheithauer</v>
      </c>
      <c r="E54" s="14">
        <f>IF(Spielplan!$H21="","",Spielplan!$H21)</f>
      </c>
      <c r="F54" s="14" t="s">
        <v>7</v>
      </c>
      <c r="G54" s="14">
        <f>IF(Spielplan!$J21="","",Spielplan!$J21)</f>
      </c>
      <c r="H54" s="56">
        <f t="shared" si="6"/>
      </c>
      <c r="I54" s="56">
        <f t="shared" si="7"/>
      </c>
    </row>
    <row r="55" spans="1:9" ht="12.75">
      <c r="A55" s="17">
        <f>Spielplan!$B30</f>
        <v>18</v>
      </c>
      <c r="B55" s="62" t="str">
        <f>Spielplan!$E30</f>
        <v>M. Maart</v>
      </c>
      <c r="C55" s="63" t="s">
        <v>6</v>
      </c>
      <c r="D55" s="64" t="str">
        <f>Spielplan!$G30</f>
        <v>C. Müller</v>
      </c>
      <c r="E55" s="14">
        <f>IF(Spielplan!$H30="","",Spielplan!$H30)</f>
      </c>
      <c r="F55" s="14" t="s">
        <v>7</v>
      </c>
      <c r="G55" s="14">
        <f>IF(Spielplan!$J30="","",Spielplan!$J30)</f>
      </c>
      <c r="H55" s="56">
        <f aca="true" t="shared" si="8" ref="H55:H60">IF(OR($E55="",$G55=""),"",IF(E55&gt;G55,3,IF(E55=G55,1,0)))</f>
      </c>
      <c r="I55" s="56">
        <f aca="true" t="shared" si="9" ref="I55:I60">IF(OR($E55="",$G55=""),"",IF(G55&gt;E55,3,IF(E55=G55,1,0)))</f>
      </c>
    </row>
    <row r="56" spans="1:9" ht="12.75">
      <c r="A56" s="17">
        <f>Spielplan!$B28</f>
        <v>16</v>
      </c>
      <c r="B56" s="62" t="str">
        <f>Spielplan!$E28</f>
        <v>M. Hintze</v>
      </c>
      <c r="C56" s="63" t="s">
        <v>6</v>
      </c>
      <c r="D56" s="64" t="str">
        <f>Spielplan!$G28</f>
        <v>R. Adamowski</v>
      </c>
      <c r="E56" s="14">
        <f>IF(Spielplan!$H28="","",Spielplan!$H28)</f>
        <v>0</v>
      </c>
      <c r="F56" s="14" t="s">
        <v>7</v>
      </c>
      <c r="G56" s="14">
        <f>IF(Spielplan!$J28="","",Spielplan!$J28)</f>
        <v>1</v>
      </c>
      <c r="H56" s="56">
        <f t="shared" si="8"/>
        <v>0</v>
      </c>
      <c r="I56" s="56">
        <f t="shared" si="9"/>
        <v>3</v>
      </c>
    </row>
    <row r="57" spans="1:9" ht="12.75" hidden="1">
      <c r="A57" s="17">
        <f>Spielplan!$B38</f>
        <v>26</v>
      </c>
      <c r="B57" s="62" t="str">
        <f>Spielplan!$E38</f>
        <v>Dr. E. Eschbach</v>
      </c>
      <c r="C57" s="63" t="s">
        <v>6</v>
      </c>
      <c r="D57" s="64" t="str">
        <f>Spielplan!$G38</f>
        <v>D. Rehbock</v>
      </c>
      <c r="E57" s="14">
        <f>IF(Spielplan!$H38="","",Spielplan!$H38)</f>
      </c>
      <c r="F57" s="14" t="s">
        <v>7</v>
      </c>
      <c r="G57" s="14">
        <f>IF(Spielplan!$J38="","",Spielplan!$J38)</f>
      </c>
      <c r="H57" s="56">
        <f t="shared" si="8"/>
      </c>
      <c r="I57" s="56">
        <f t="shared" si="9"/>
      </c>
    </row>
    <row r="58" spans="1:9" ht="12.75" hidden="1">
      <c r="A58" s="17">
        <f>Spielplan!$B69</f>
        <v>14</v>
      </c>
      <c r="B58" s="62">
        <f>Spielplan!$E69</f>
        <v>0</v>
      </c>
      <c r="C58" s="63" t="s">
        <v>6</v>
      </c>
      <c r="D58" s="64">
        <f>Spielplan!$G69</f>
        <v>0</v>
      </c>
      <c r="E58" s="14">
        <f>IF(Spielplan!$H69="","",Spielplan!$H69)</f>
      </c>
      <c r="F58" s="14" t="s">
        <v>7</v>
      </c>
      <c r="G58" s="14">
        <f>IF(Spielplan!$J69="","",Spielplan!$J69)</f>
      </c>
      <c r="H58" s="56">
        <f t="shared" si="8"/>
      </c>
      <c r="I58" s="56">
        <f t="shared" si="9"/>
      </c>
    </row>
    <row r="59" spans="1:9" ht="12.75">
      <c r="A59" s="17">
        <f>Spielplan!$B42</f>
        <v>30</v>
      </c>
      <c r="B59" s="62" t="str">
        <f>Spielplan!$E42</f>
        <v>M. Maart</v>
      </c>
      <c r="C59" s="63" t="s">
        <v>6</v>
      </c>
      <c r="D59" s="64" t="str">
        <f>Spielplan!$G42</f>
        <v>A. Langkamp</v>
      </c>
      <c r="E59" s="14">
        <f>IF(Spielplan!$H42="","",Spielplan!$H42)</f>
      </c>
      <c r="F59" s="14" t="s">
        <v>7</v>
      </c>
      <c r="G59" s="14">
        <f>IF(Spielplan!$J42="","",Spielplan!$J42)</f>
      </c>
      <c r="H59" s="56">
        <f t="shared" si="8"/>
      </c>
      <c r="I59" s="56">
        <f t="shared" si="9"/>
      </c>
    </row>
    <row r="60" spans="1:9" ht="12.75">
      <c r="A60" s="17">
        <f>Spielplan!$B82</f>
        <v>43</v>
      </c>
      <c r="B60" s="62" t="str">
        <f>Spielplan!$E82</f>
        <v>1. Gruppe A</v>
      </c>
      <c r="C60" s="63" t="s">
        <v>6</v>
      </c>
      <c r="D60" s="64" t="str">
        <f>Spielplan!$G82</f>
        <v>2. Gruppe A</v>
      </c>
      <c r="E60" s="14">
        <f>IF(Spielplan!$H82="","",Spielplan!$H82)</f>
      </c>
      <c r="F60" s="14" t="s">
        <v>7</v>
      </c>
      <c r="G60" s="14">
        <f>IF(Spielplan!$J82="","",Spielplan!$J82)</f>
      </c>
      <c r="H60" s="56">
        <f t="shared" si="8"/>
      </c>
      <c r="I60" s="56">
        <f t="shared" si="9"/>
      </c>
    </row>
    <row r="61" spans="1:9" ht="12.75">
      <c r="A61" s="17">
        <f>Spielplan!$B83</f>
        <v>44</v>
      </c>
      <c r="B61" s="62" t="str">
        <f>Spielplan!$E83</f>
        <v>3. Gruppe B</v>
      </c>
      <c r="C61" s="63" t="s">
        <v>6</v>
      </c>
      <c r="D61" s="64" t="str">
        <f>Spielplan!$G83</f>
        <v>4. Gruppe B</v>
      </c>
      <c r="E61" s="14">
        <f>IF(Spielplan!$H83="","",Spielplan!$H83)</f>
      </c>
      <c r="F61" s="14" t="s">
        <v>7</v>
      </c>
      <c r="G61" s="14">
        <f>IF(Spielplan!$J83="","",Spielplan!$J83)</f>
      </c>
      <c r="H61" s="56">
        <f aca="true" t="shared" si="10" ref="H61:H71">IF(OR($E61="",$G61=""),"",IF(E61&gt;G61,3,IF(E61=G61,1,0)))</f>
      </c>
      <c r="I61" s="56">
        <f aca="true" t="shared" si="11" ref="I61:I71">IF(OR($E61="",$G61=""),"",IF(G61&gt;E61,3,IF(E61=G61,1,0)))</f>
      </c>
    </row>
    <row r="62" spans="1:9" ht="12.75">
      <c r="A62" s="17">
        <f>Spielplan!$B84</f>
        <v>45</v>
      </c>
      <c r="B62" s="62" t="str">
        <f>Spielplan!$E84</f>
        <v>1. Gruppe B</v>
      </c>
      <c r="C62" s="63" t="s">
        <v>6</v>
      </c>
      <c r="D62" s="64" t="str">
        <f>Spielplan!$G84</f>
        <v>2. Gruppe B</v>
      </c>
      <c r="E62" s="14">
        <f>IF(Spielplan!$H84="","",Spielplan!$H84)</f>
      </c>
      <c r="F62" s="14" t="s">
        <v>7</v>
      </c>
      <c r="G62" s="14">
        <f>IF(Spielplan!$J84="","",Spielplan!$J84)</f>
      </c>
      <c r="H62" s="56">
        <f t="shared" si="10"/>
      </c>
      <c r="I62" s="56">
        <f t="shared" si="11"/>
      </c>
    </row>
    <row r="63" spans="1:9" ht="12.75">
      <c r="A63" s="17">
        <f>Spielplan!$B85</f>
        <v>46</v>
      </c>
      <c r="B63" s="62" t="str">
        <f>Spielplan!$E85</f>
        <v>3. Gruppe A</v>
      </c>
      <c r="C63" s="63" t="s">
        <v>6</v>
      </c>
      <c r="D63" s="64" t="str">
        <f>Spielplan!$G85</f>
        <v>4. Gruppe A</v>
      </c>
      <c r="E63" s="14">
        <f>IF(Spielplan!$H85="","",Spielplan!$H85)</f>
        <v>0</v>
      </c>
      <c r="F63" s="14" t="s">
        <v>7</v>
      </c>
      <c r="G63" s="14">
        <f>IF(Spielplan!$J85="","",Spielplan!$J85)</f>
        <v>1</v>
      </c>
      <c r="H63" s="56">
        <f>IF(OR($E63="",$G63=""),"",IF(E63&gt;G63,3,IF(E63=G63,1,0)))</f>
        <v>0</v>
      </c>
      <c r="I63" s="56">
        <f t="shared" si="11"/>
        <v>3</v>
      </c>
    </row>
    <row r="64" spans="1:9" ht="12.75">
      <c r="A64" s="17">
        <f>Spielplan!$B86</f>
        <v>47</v>
      </c>
      <c r="B64" s="62" t="str">
        <f>Spielplan!$E86</f>
        <v>1. Gruppe A</v>
      </c>
      <c r="C64" s="63" t="s">
        <v>6</v>
      </c>
      <c r="D64" s="64" t="str">
        <f>Spielplan!$G86</f>
        <v>4. Gruppe B</v>
      </c>
      <c r="E64" s="14">
        <f>IF(Spielplan!$H86="","",Spielplan!$H86)</f>
      </c>
      <c r="F64" s="14" t="s">
        <v>7</v>
      </c>
      <c r="G64" s="14">
        <f>IF(Spielplan!$J86="","",Spielplan!$J86)</f>
      </c>
      <c r="H64" s="56">
        <f t="shared" si="10"/>
      </c>
      <c r="I64" s="56">
        <f t="shared" si="11"/>
      </c>
    </row>
    <row r="65" spans="1:9" ht="12.75">
      <c r="A65" s="17">
        <f>Spielplan!$B87</f>
        <v>48</v>
      </c>
      <c r="B65" s="62" t="str">
        <f>Spielplan!$E87</f>
        <v>2. Gruppe A</v>
      </c>
      <c r="C65" s="63" t="s">
        <v>6</v>
      </c>
      <c r="D65" s="64" t="str">
        <f>Spielplan!$G87</f>
        <v>3. Gruppe B</v>
      </c>
      <c r="E65" s="14">
        <f>IF(Spielplan!$H87="","",Spielplan!$H87)</f>
      </c>
      <c r="F65" s="14" t="s">
        <v>7</v>
      </c>
      <c r="G65" s="14">
        <f>IF(Spielplan!$J87="","",Spielplan!$J87)</f>
      </c>
      <c r="H65" s="56">
        <f t="shared" si="10"/>
      </c>
      <c r="I65" s="56">
        <f t="shared" si="11"/>
      </c>
    </row>
    <row r="66" spans="1:9" ht="12.75">
      <c r="A66" s="17">
        <f>Spielplan!$B88</f>
        <v>49</v>
      </c>
      <c r="B66" s="62" t="str">
        <f>Spielplan!$E88</f>
        <v>2. Gruppe B</v>
      </c>
      <c r="C66" s="63" t="s">
        <v>6</v>
      </c>
      <c r="D66" s="64" t="str">
        <f>Spielplan!$G88</f>
        <v>4. Gruppe A</v>
      </c>
      <c r="E66" s="14">
        <f>IF(Spielplan!$H88="","",Spielplan!$H88)</f>
        <v>0</v>
      </c>
      <c r="F66" s="14" t="s">
        <v>7</v>
      </c>
      <c r="G66" s="14">
        <f>IF(Spielplan!$J88="","",Spielplan!$J88)</f>
        <v>1</v>
      </c>
      <c r="H66" s="56">
        <f t="shared" si="10"/>
        <v>0</v>
      </c>
      <c r="I66" s="56">
        <f t="shared" si="11"/>
        <v>3</v>
      </c>
    </row>
    <row r="67" spans="1:9" ht="12.75">
      <c r="A67" s="17">
        <f>Spielplan!$B89</f>
        <v>50</v>
      </c>
      <c r="B67" s="62" t="str">
        <f>Spielplan!$E89</f>
        <v>1. Gruppe B</v>
      </c>
      <c r="C67" s="63" t="s">
        <v>6</v>
      </c>
      <c r="D67" s="64" t="str">
        <f>Spielplan!$G89</f>
        <v>3. Gruppe A</v>
      </c>
      <c r="E67" s="14">
        <f>IF(Spielplan!$H89="","",Spielplan!$H89)</f>
      </c>
      <c r="F67" s="14" t="s">
        <v>7</v>
      </c>
      <c r="G67" s="14">
        <f>IF(Spielplan!$J89="","",Spielplan!$J89)</f>
      </c>
      <c r="H67" s="56">
        <f t="shared" si="10"/>
      </c>
      <c r="I67" s="56">
        <f t="shared" si="11"/>
      </c>
    </row>
    <row r="68" spans="1:9" ht="12.75">
      <c r="A68" s="17">
        <f>Spielplan!$B90</f>
        <v>51</v>
      </c>
      <c r="B68" s="62" t="str">
        <f>Spielplan!$E90</f>
        <v>1. Gruppe A</v>
      </c>
      <c r="C68" s="63" t="s">
        <v>6</v>
      </c>
      <c r="D68" s="64" t="str">
        <f>Spielplan!$G90</f>
        <v>3. Gruppe B</v>
      </c>
      <c r="E68" s="14">
        <f>IF(Spielplan!$H90="","",Spielplan!$H90)</f>
      </c>
      <c r="F68" s="14" t="s">
        <v>7</v>
      </c>
      <c r="G68" s="14">
        <f>IF(Spielplan!$J90="","",Spielplan!$J90)</f>
      </c>
      <c r="H68" s="56">
        <f t="shared" si="10"/>
      </c>
      <c r="I68" s="56">
        <f t="shared" si="11"/>
      </c>
    </row>
    <row r="69" spans="1:9" ht="12.75">
      <c r="A69" s="17">
        <f>Spielplan!$B91</f>
        <v>52</v>
      </c>
      <c r="B69" s="62" t="str">
        <f>Spielplan!$E91</f>
        <v>2. Gruppe A</v>
      </c>
      <c r="C69" s="63" t="s">
        <v>6</v>
      </c>
      <c r="D69" s="64" t="str">
        <f>Spielplan!$G91</f>
        <v>4. Gruppe B</v>
      </c>
      <c r="E69" s="14">
        <f>IF(Spielplan!$H91="","",Spielplan!$H91)</f>
      </c>
      <c r="F69" s="14" t="s">
        <v>7</v>
      </c>
      <c r="G69" s="14">
        <f>IF(Spielplan!$J91="","",Spielplan!$J91)</f>
      </c>
      <c r="H69" s="56">
        <f t="shared" si="10"/>
      </c>
      <c r="I69" s="56">
        <f t="shared" si="11"/>
      </c>
    </row>
    <row r="70" spans="1:9" ht="12.75">
      <c r="A70" s="17">
        <f>Spielplan!$B92</f>
        <v>53</v>
      </c>
      <c r="B70" s="62" t="str">
        <f>Spielplan!$E92</f>
        <v>1. Gruppe B</v>
      </c>
      <c r="C70" s="63" t="s">
        <v>6</v>
      </c>
      <c r="D70" s="64" t="str">
        <f>Spielplan!$G92</f>
        <v>4. Gruppe A</v>
      </c>
      <c r="E70" s="14">
        <f>IF(Spielplan!$H92="","",Spielplan!$H92)</f>
        <v>0</v>
      </c>
      <c r="F70" s="14" t="s">
        <v>7</v>
      </c>
      <c r="G70" s="14">
        <f>IF(Spielplan!$J92="","",Spielplan!$J92)</f>
        <v>1</v>
      </c>
      <c r="H70" s="56">
        <f t="shared" si="10"/>
        <v>0</v>
      </c>
      <c r="I70" s="56">
        <f t="shared" si="11"/>
        <v>3</v>
      </c>
    </row>
    <row r="71" spans="1:9" ht="12.75">
      <c r="A71" s="17">
        <f>Spielplan!$B93</f>
        <v>54</v>
      </c>
      <c r="B71" s="62" t="str">
        <f>Spielplan!$E93</f>
        <v>2. Gruppe B</v>
      </c>
      <c r="C71" s="63" t="s">
        <v>6</v>
      </c>
      <c r="D71" s="64" t="str">
        <f>Spielplan!$G93</f>
        <v>3. Gruppe A</v>
      </c>
      <c r="E71" s="14">
        <f>IF(Spielplan!$H93="","",Spielplan!$H93)</f>
      </c>
      <c r="F71" s="14" t="s">
        <v>7</v>
      </c>
      <c r="G71" s="14">
        <f>IF(Spielplan!$J93="","",Spielplan!$J93)</f>
      </c>
      <c r="H71" s="56">
        <f t="shared" si="10"/>
      </c>
      <c r="I71" s="56">
        <f t="shared" si="11"/>
      </c>
    </row>
  </sheetData>
  <sheetProtection/>
  <mergeCells count="16">
    <mergeCell ref="E2:G2"/>
    <mergeCell ref="N2:P2"/>
    <mergeCell ref="Q15:Q16"/>
    <mergeCell ref="K15:K16"/>
    <mergeCell ref="L15:L16"/>
    <mergeCell ref="M15:M16"/>
    <mergeCell ref="N15:P16"/>
    <mergeCell ref="R12:R16"/>
    <mergeCell ref="R30:R31"/>
    <mergeCell ref="N25:P25"/>
    <mergeCell ref="K30:K31"/>
    <mergeCell ref="L30:L31"/>
    <mergeCell ref="M30:M31"/>
    <mergeCell ref="N30:P31"/>
    <mergeCell ref="Q30:Q31"/>
    <mergeCell ref="R24:R25"/>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2007</dc:description>
  <cp:lastModifiedBy>Wickenhäuser, Eugen</cp:lastModifiedBy>
  <cp:lastPrinted>2016-12-19T19:25:39Z</cp:lastPrinted>
  <dcterms:created xsi:type="dcterms:W3CDTF">1999-01-27T19:57:19Z</dcterms:created>
  <dcterms:modified xsi:type="dcterms:W3CDTF">2017-06-30T08:29:25Z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