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state="hidden"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'Spielplan'!$A$1:$J$37</definedName>
    <definedName name="_xlnm.Print_Area" localSheetId="4">'Spielplan2'!$A$1:$J$89</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<sst xmlns="http://schemas.openxmlformats.org/spreadsheetml/2006/main" count="627" uniqueCount="142">
  <si>
    <t>Gruppe A</t>
  </si>
  <si>
    <t>Pkte</t>
  </si>
  <si>
    <t>Tore</t>
  </si>
  <si>
    <t>Gruppe C</t>
  </si>
  <si>
    <t>Dauer:</t>
  </si>
  <si>
    <t>Pause:</t>
  </si>
  <si>
    <t>Gruppe B</t>
  </si>
  <si>
    <t>Gruppe D</t>
  </si>
  <si>
    <t>Zeit</t>
  </si>
  <si>
    <t>Spiel Nr.</t>
  </si>
  <si>
    <t>Gruppe</t>
  </si>
  <si>
    <t>Vorrunde</t>
  </si>
  <si>
    <t>Ergebnis</t>
  </si>
  <si>
    <t>Gr.A</t>
  </si>
  <si>
    <t>-</t>
  </si>
  <si>
    <t>:</t>
  </si>
  <si>
    <t>Gr.B</t>
  </si>
  <si>
    <t>Gr.C</t>
  </si>
  <si>
    <t>Gr.D</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</si>
  <si>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</si>
  <si>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</si>
  <si>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</si>
  <si>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</si>
  <si>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</si>
  <si>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</si>
  <si>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</si>
  <si>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</si>
  <si>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</si>
  <si>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</si>
  <si>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</si>
  <si>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</si>
  <si>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</si>
  <si>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</si>
  <si>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</si>
  <si>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</si>
  <si>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</si>
  <si>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</si>
  <si>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</si>
  <si>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</si>
  <si>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</si>
  <si>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</si>
  <si>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</si>
  <si>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</si>
  <si>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</si>
  <si>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</si>
  <si>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</si>
  <si>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</si>
  <si>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</si>
  <si>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</si>
  <si>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</si>
  <si>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</si>
  <si>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</si>
  <si>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G</t>
  </si>
  <si>
    <t>Gruppe H</t>
  </si>
  <si>
    <t>Zwischenrunde Gruppen - Tabellen</t>
  </si>
  <si>
    <t>1.</t>
  </si>
  <si>
    <t>2.</t>
  </si>
  <si>
    <t>3.</t>
  </si>
  <si>
    <t>4.</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</si>
  <si>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</si>
  <si>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</si>
  <si>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</si>
  <si>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</si>
  <si>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</si>
  <si>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Dritter Gruppe A</t>
  </si>
  <si>
    <t>Dritter Gruppe B</t>
  </si>
  <si>
    <t>Vierter Gruppe C</t>
  </si>
  <si>
    <t>Vierter Gruppe D</t>
  </si>
  <si>
    <t>Vierter Gruppe A</t>
  </si>
  <si>
    <t>Vierter Gruppe B</t>
  </si>
  <si>
    <t>Dritter Gruppe C</t>
  </si>
  <si>
    <t>Dritter Gruppe D</t>
  </si>
  <si>
    <t>Beginn:</t>
  </si>
  <si>
    <t>(nach Vorrunde)</t>
  </si>
  <si>
    <t>Gr.E</t>
  </si>
  <si>
    <t>Gr.F</t>
  </si>
  <si>
    <t>Gr.G</t>
  </si>
  <si>
    <t>Gr.H</t>
  </si>
  <si>
    <t>Dritter Gruppe E</t>
  </si>
  <si>
    <t>Winner  V (Spiel 49)</t>
  </si>
  <si>
    <t>Dritter Gruppe F</t>
  </si>
  <si>
    <t>(um Platz 15)</t>
  </si>
  <si>
    <t>Vierter Gruppe G</t>
  </si>
  <si>
    <t>Vierter Gruppe H</t>
  </si>
  <si>
    <t>(um Platz 13)</t>
  </si>
  <si>
    <t>Dritter Gruppe G</t>
  </si>
  <si>
    <t>Dritter Gruppe H</t>
  </si>
  <si>
    <t>(X)</t>
  </si>
  <si>
    <t>(Y)</t>
  </si>
  <si>
    <t>Winner  W (Spiel 50)</t>
  </si>
  <si>
    <t>(um Platz 11)</t>
  </si>
  <si>
    <t>Zweiter Gruppe G</t>
  </si>
  <si>
    <t>Zweiter Gruppe H</t>
  </si>
  <si>
    <t>Zweiter Gruppe E</t>
  </si>
  <si>
    <t>(A)</t>
  </si>
  <si>
    <t>Winner Y (Spiel 52)</t>
  </si>
  <si>
    <t>(B)</t>
  </si>
  <si>
    <t>Winner A (Spiel 55)</t>
  </si>
  <si>
    <t>Winner B (Spiel 56)</t>
  </si>
  <si>
    <t>Erster Gruppe E</t>
  </si>
  <si>
    <t>Erster Gruppe F</t>
  </si>
  <si>
    <t>(C)</t>
  </si>
  <si>
    <t>(D)</t>
  </si>
  <si>
    <t>Looser X (Spiel  51)</t>
  </si>
  <si>
    <t>Winner X (Spiel 51)</t>
  </si>
  <si>
    <t>Looser Y (Spiel 52)</t>
  </si>
  <si>
    <t>(um Platz 7)</t>
  </si>
  <si>
    <t>(um Platz 5)</t>
  </si>
  <si>
    <t>(um Platz 3)</t>
  </si>
  <si>
    <t>Looser C (Spiel  59)</t>
  </si>
  <si>
    <t>Looser D (Spiel 60)</t>
  </si>
  <si>
    <t>Looser A (Spiel  55)</t>
  </si>
  <si>
    <t>Looser B (Spiel 56)</t>
  </si>
  <si>
    <t>KJG Burner</t>
  </si>
  <si>
    <t>KJG Wiesloch</t>
  </si>
  <si>
    <t>Minis Forst II</t>
  </si>
  <si>
    <t>Natural Born Kickers</t>
  </si>
  <si>
    <t>ALFons</t>
  </si>
  <si>
    <t>Mini Kenzingen</t>
  </si>
  <si>
    <t>Himmelsstürmer</t>
  </si>
  <si>
    <t>Minis Forst I</t>
  </si>
  <si>
    <t>KJG Walldorf</t>
  </si>
  <si>
    <t>Hl. Kreuz</t>
  </si>
  <si>
    <t>Minis Rot</t>
  </si>
  <si>
    <t>Die Bierbauchkicker</t>
  </si>
  <si>
    <t>Minis Mühlhausen/Rettigheim</t>
  </si>
  <si>
    <t>Bolzplatzkickers</t>
  </si>
  <si>
    <t>Letzenbergkicker</t>
  </si>
  <si>
    <t>ALFons Allstars</t>
  </si>
  <si>
    <t>(Endrunde)</t>
  </si>
  <si>
    <t>Feld 1</t>
  </si>
  <si>
    <t>Feld 2</t>
  </si>
  <si>
    <t>Feld 3</t>
  </si>
  <si>
    <t>Halbfinale</t>
  </si>
  <si>
    <t>Spiel um Platz 3</t>
  </si>
  <si>
    <t>Finale</t>
  </si>
  <si>
    <t>Platzierungen:</t>
  </si>
  <si>
    <t>Zweiter Gruppe  F</t>
  </si>
  <si>
    <t>Verlierer Spiel 50</t>
  </si>
  <si>
    <t>Verlierer Spiel 48</t>
  </si>
  <si>
    <t>Sieger Spiel 48</t>
  </si>
  <si>
    <t>Sieger Spiel 50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</si>
</sst>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b/>
      <sz val="12"/>
      <color indexed="12"/>
      <name val="Arial"/>
      <family val="2"/>
    </font>
    <font>
      <b/>
      <sz val="14"/>
      <color indexed="12"/>
      <name val="Arial"/>
      <family val="2"/>
    </font>
    <font>
      <sz val="16"/>
      <color indexed="10"/>
      <name val="Arial"/>
      <family val="2"/>
    </font>
    <font>
      <b/>
      <sz val="16"/>
      <name val="Arial"/>
      <family val="2"/>
    </font>
    <font>
      <b/>
      <sz val="12"/>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0"/>
      <color indexed="28"/>
      <name val="Arial"/>
      <family val="2"/>
    </font>
    <font>
      <b/>
      <sz val="16"/>
      <color indexed="56"/>
      <name val="Arial"/>
      <family val="2"/>
    </font>
    <font>
      <b/>
      <sz val="11"/>
      <name val="Arial"/>
      <family val="2"/>
    </font>
    <font>
      <b/>
      <sz val="10"/>
      <color indexed="9"/>
      <name val="Arial"/>
      <family val="2"/>
    </font>
    <font>
      <b/>
      <u val="single"/>
      <sz val="12"/>
      <color indexed="12"/>
      <name val="Arial"/>
      <family val="2"/>
    </font>
    <font>
      <b/>
      <sz val="6"/>
      <color indexed="16"/>
      <name val="Arial"/>
      <family val="2"/>
    </font>
    <font>
      <b/>
      <u val="single"/>
      <sz val="12"/>
      <color indexed="10"/>
      <name val="Arial"/>
      <family val="2"/>
    </font>
    <font>
      <sz val="10"/>
      <color indexed="8"/>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56"/>
        <bgColor indexed="64"/>
      </patternFill>
    </fill>
    <fill>
      <patternFill patternType="solid">
        <fgColor theme="0"/>
        <bgColor indexed="64"/>
      </patternFill>
    </fill>
    <fill>
      <patternFill patternType="solid">
        <fgColor indexed="41"/>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259">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37"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24" fillId="33" borderId="0" xfId="0" applyFont="1" applyFill="1" applyAlignment="1" applyProtection="1">
      <alignment horizontal="center"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40" borderId="0" xfId="0" applyNumberFormat="1" applyFont="1" applyFill="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5" fillId="41" borderId="0" xfId="0" applyFont="1" applyFill="1" applyBorder="1" applyAlignment="1">
      <alignment horizontal="center" vertical="center"/>
    </xf>
    <xf numFmtId="0" fontId="0" fillId="36" borderId="0" xfId="0" applyFill="1" applyBorder="1" applyAlignment="1">
      <alignment/>
    </xf>
    <xf numFmtId="0" fontId="0" fillId="41" borderId="0" xfId="0" applyFill="1" applyBorder="1" applyAlignment="1">
      <alignment/>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0" fontId="6" fillId="33" borderId="0" xfId="0" applyFont="1" applyFill="1" applyBorder="1" applyAlignment="1" applyProtection="1">
      <alignment horizontal="left"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24" fillId="33" borderId="11"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top"/>
      <protection/>
    </xf>
    <xf numFmtId="0" fontId="0" fillId="33" borderId="17" xfId="0" applyFont="1" applyFill="1" applyBorder="1" applyAlignment="1">
      <alignment horizontal="left" vertical="top"/>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lignment horizontal="left" vertical="top"/>
    </xf>
    <xf numFmtId="0" fontId="51" fillId="34" borderId="11" xfId="0" applyFont="1" applyFill="1" applyBorder="1" applyAlignment="1" applyProtection="1">
      <alignment horizontal="right" vertical="center"/>
      <protection hidden="1"/>
    </xf>
    <xf numFmtId="0" fontId="51" fillId="34" borderId="12" xfId="0" applyFont="1" applyFill="1" applyBorder="1" applyAlignment="1" applyProtection="1">
      <alignment horizontal="left" vertical="center"/>
      <protection hidden="1"/>
    </xf>
    <xf numFmtId="0" fontId="51" fillId="34" borderId="0" xfId="0" applyFont="1" applyFill="1" applyAlignment="1" applyProtection="1">
      <alignment horizontal="right" vertical="center"/>
      <protection hidden="1"/>
    </xf>
    <xf numFmtId="0" fontId="51" fillId="34" borderId="0" xfId="0" applyFont="1" applyFill="1" applyAlignment="1" applyProtection="1">
      <alignment horizontal="left" vertical="center"/>
      <protection hidden="1"/>
    </xf>
    <xf numFmtId="173" fontId="24"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51" fillId="0" borderId="12" xfId="0" applyFont="1" applyFill="1" applyBorder="1" applyAlignment="1" applyProtection="1">
      <alignment horizontal="left" vertical="center"/>
      <protection/>
    </xf>
    <xf numFmtId="0" fontId="51" fillId="0" borderId="11" xfId="0" applyFont="1" applyFill="1" applyBorder="1" applyAlignment="1" applyProtection="1">
      <alignment horizontal="right" vertical="center"/>
      <protection/>
    </xf>
    <xf numFmtId="0" fontId="51" fillId="0" borderId="0" xfId="0" applyFont="1" applyFill="1" applyAlignment="1" applyProtection="1">
      <alignment horizontal="right" vertical="center"/>
      <protection/>
    </xf>
    <xf numFmtId="0" fontId="51" fillId="0" borderId="0" xfId="0" applyFont="1" applyFill="1" applyAlignment="1" applyProtection="1">
      <alignment horizontal="left" vertical="center"/>
      <protection/>
    </xf>
    <xf numFmtId="0" fontId="24" fillId="0" borderId="0" xfId="0" applyFont="1" applyFill="1" applyAlignment="1" applyProtection="1">
      <alignment horizontal="center" vertical="center"/>
      <protection/>
    </xf>
    <xf numFmtId="0" fontId="6" fillId="0" borderId="0" xfId="0" applyFont="1" applyFill="1" applyAlignment="1" applyProtection="1">
      <alignment horizontal="center" vertical="top"/>
      <protection/>
    </xf>
    <xf numFmtId="0" fontId="6" fillId="0" borderId="0" xfId="0" applyFont="1" applyFill="1" applyAlignment="1" applyProtection="1">
      <alignment horizontal="left" vertical="top"/>
      <protection/>
    </xf>
    <xf numFmtId="0" fontId="24" fillId="0" borderId="11" xfId="0" applyFont="1" applyFill="1" applyBorder="1" applyAlignment="1" applyProtection="1">
      <alignment horizontal="center" vertical="center"/>
      <protection/>
    </xf>
    <xf numFmtId="0" fontId="51" fillId="33" borderId="11" xfId="0" applyFont="1" applyFill="1" applyBorder="1" applyAlignment="1" applyProtection="1">
      <alignment horizontal="left" vertical="center"/>
      <protection/>
    </xf>
    <xf numFmtId="20" fontId="52" fillId="42" borderId="0" xfId="0" applyNumberFormat="1" applyFont="1" applyFill="1" applyAlignment="1" applyProtection="1">
      <alignment horizontal="center"/>
      <protection locked="0"/>
    </xf>
    <xf numFmtId="0" fontId="9" fillId="33" borderId="0" xfId="0" applyFont="1" applyFill="1" applyAlignment="1" applyProtection="1">
      <alignment horizontal="left"/>
      <protection/>
    </xf>
    <xf numFmtId="0" fontId="9" fillId="33" borderId="0" xfId="0" applyFont="1" applyFill="1" applyAlignment="1" applyProtection="1">
      <alignment horizontal="right"/>
      <protection/>
    </xf>
    <xf numFmtId="0" fontId="10" fillId="33" borderId="0" xfId="0" applyFont="1" applyFill="1" applyAlignment="1" applyProtection="1">
      <alignment horizontal="right"/>
      <protection/>
    </xf>
    <xf numFmtId="173" fontId="24" fillId="33" borderId="18" xfId="0" applyNumberFormat="1"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30" fillId="33" borderId="19" xfId="0" applyFont="1" applyFill="1" applyBorder="1" applyAlignment="1" applyProtection="1">
      <alignment horizontal="left" vertical="center"/>
      <protection/>
    </xf>
    <xf numFmtId="0" fontId="30" fillId="33" borderId="19" xfId="0" applyFont="1" applyFill="1" applyBorder="1" applyAlignment="1" applyProtection="1">
      <alignment horizontal="right" vertical="center"/>
      <protection/>
    </xf>
    <xf numFmtId="0" fontId="24" fillId="33" borderId="19" xfId="0" applyFont="1" applyFill="1" applyBorder="1" applyAlignment="1" applyProtection="1">
      <alignment horizontal="right" vertical="center"/>
      <protection/>
    </xf>
    <xf numFmtId="0" fontId="24" fillId="33" borderId="19" xfId="0" applyFont="1" applyFill="1" applyBorder="1" applyAlignment="1" applyProtection="1">
      <alignment horizontal="center" vertical="center"/>
      <protection/>
    </xf>
    <xf numFmtId="0" fontId="24" fillId="33" borderId="19" xfId="0" applyFont="1" applyFill="1" applyBorder="1" applyAlignment="1" applyProtection="1">
      <alignment horizontal="left" vertical="center"/>
      <protection/>
    </xf>
    <xf numFmtId="173" fontId="24" fillId="33" borderId="20" xfId="0" applyNumberFormat="1" applyFont="1" applyFill="1" applyBorder="1" applyAlignment="1" applyProtection="1">
      <alignment horizontal="center" vertical="center"/>
      <protection/>
    </xf>
    <xf numFmtId="0" fontId="30" fillId="33" borderId="0" xfId="0" applyFont="1" applyFill="1" applyBorder="1" applyAlignment="1" applyProtection="1">
      <alignment horizontal="left" vertical="center"/>
      <protection/>
    </xf>
    <xf numFmtId="0" fontId="30" fillId="33" borderId="0" xfId="0" applyFont="1" applyFill="1" applyBorder="1" applyAlignment="1" applyProtection="1">
      <alignment horizontal="right" vertical="center"/>
      <protection/>
    </xf>
    <xf numFmtId="0" fontId="24" fillId="33" borderId="0" xfId="0" applyFont="1" applyFill="1" applyBorder="1" applyAlignment="1" applyProtection="1">
      <alignment horizontal="right" vertical="center"/>
      <protection/>
    </xf>
    <xf numFmtId="0" fontId="24" fillId="33" borderId="0" xfId="0" applyFont="1" applyFill="1" applyBorder="1" applyAlignment="1" applyProtection="1">
      <alignment horizontal="center" vertical="center"/>
      <protection/>
    </xf>
    <xf numFmtId="173" fontId="24" fillId="33" borderId="21" xfId="0" applyNumberFormat="1"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30" fillId="33" borderId="17" xfId="0" applyFont="1" applyFill="1" applyBorder="1" applyAlignment="1" applyProtection="1">
      <alignment horizontal="left" vertical="center"/>
      <protection/>
    </xf>
    <xf numFmtId="0" fontId="24" fillId="33" borderId="17" xfId="0" applyFont="1" applyFill="1" applyBorder="1" applyAlignment="1" applyProtection="1">
      <alignment horizontal="right" vertical="center"/>
      <protection/>
    </xf>
    <xf numFmtId="0" fontId="24" fillId="33" borderId="17" xfId="0" applyFont="1" applyFill="1" applyBorder="1" applyAlignment="1" applyProtection="1">
      <alignment horizontal="center" vertical="center"/>
      <protection/>
    </xf>
    <xf numFmtId="0" fontId="24" fillId="33" borderId="17" xfId="0" applyFont="1" applyFill="1" applyBorder="1" applyAlignment="1" applyProtection="1">
      <alignment horizontal="left" vertical="center"/>
      <protection/>
    </xf>
    <xf numFmtId="0" fontId="51" fillId="0" borderId="11" xfId="0" applyFont="1" applyFill="1" applyBorder="1" applyAlignment="1" applyProtection="1">
      <alignment horizontal="left" vertical="center"/>
      <protection/>
    </xf>
    <xf numFmtId="0" fontId="51" fillId="33" borderId="11" xfId="0" applyFont="1" applyFill="1" applyBorder="1" applyAlignment="1" applyProtection="1">
      <alignment vertical="center"/>
      <protection/>
    </xf>
    <xf numFmtId="0" fontId="24" fillId="33" borderId="0" xfId="0" applyFont="1" applyFill="1" applyBorder="1" applyAlignment="1" applyProtection="1">
      <alignment horizontal="right" vertical="center"/>
      <protection locked="0"/>
    </xf>
    <xf numFmtId="0" fontId="24" fillId="33" borderId="0" xfId="0" applyFont="1" applyFill="1" applyBorder="1" applyAlignment="1" applyProtection="1">
      <alignment horizontal="left" vertical="center"/>
      <protection locked="0"/>
    </xf>
    <xf numFmtId="0" fontId="30" fillId="33" borderId="19"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7" xfId="0" applyFont="1" applyFill="1" applyBorder="1" applyAlignment="1" applyProtection="1">
      <alignment horizontal="center" vertical="center"/>
      <protection/>
    </xf>
    <xf numFmtId="0" fontId="6" fillId="33" borderId="0" xfId="0" applyFont="1" applyFill="1" applyAlignment="1" applyProtection="1">
      <alignment horizontal="left" vertical="top"/>
      <protection hidden="1"/>
    </xf>
    <xf numFmtId="0" fontId="24" fillId="33" borderId="0" xfId="0" applyFont="1" applyFill="1" applyBorder="1" applyAlignment="1" applyProtection="1">
      <alignment vertical="center"/>
      <protection/>
    </xf>
    <xf numFmtId="0" fontId="24" fillId="33" borderId="19" xfId="0" applyFont="1" applyFill="1" applyBorder="1" applyAlignment="1" applyProtection="1">
      <alignment horizontal="right" vertical="center"/>
      <protection locked="0"/>
    </xf>
    <xf numFmtId="0" fontId="24" fillId="33" borderId="22" xfId="0" applyFont="1" applyFill="1" applyBorder="1" applyAlignment="1" applyProtection="1">
      <alignment horizontal="left" vertical="center"/>
      <protection locked="0"/>
    </xf>
    <xf numFmtId="0" fontId="24" fillId="33" borderId="23" xfId="0" applyFont="1" applyFill="1" applyBorder="1" applyAlignment="1" applyProtection="1">
      <alignment horizontal="left" vertical="center"/>
      <protection locked="0"/>
    </xf>
    <xf numFmtId="0" fontId="24" fillId="33" borderId="17" xfId="0" applyFont="1" applyFill="1" applyBorder="1" applyAlignment="1" applyProtection="1">
      <alignment horizontal="right" vertical="center"/>
      <protection locked="0"/>
    </xf>
    <xf numFmtId="0" fontId="24" fillId="33" borderId="24" xfId="0" applyFont="1" applyFill="1" applyBorder="1" applyAlignment="1" applyProtection="1">
      <alignment horizontal="left" vertical="center"/>
      <protection locked="0"/>
    </xf>
    <xf numFmtId="0" fontId="30" fillId="33" borderId="11" xfId="0" applyFont="1" applyFill="1" applyBorder="1" applyAlignment="1" applyProtection="1">
      <alignment horizontal="left" vertical="center"/>
      <protection/>
    </xf>
    <xf numFmtId="0" fontId="30" fillId="43" borderId="11" xfId="0" applyFont="1" applyFill="1" applyBorder="1" applyAlignment="1" applyProtection="1">
      <alignment horizontal="left" vertical="center"/>
      <protection/>
    </xf>
    <xf numFmtId="0" fontId="0" fillId="43" borderId="11" xfId="0" applyFill="1" applyBorder="1" applyAlignment="1">
      <alignment vertical="top"/>
    </xf>
    <xf numFmtId="0" fontId="51" fillId="43" borderId="11" xfId="0" applyFont="1" applyFill="1" applyBorder="1" applyAlignment="1" applyProtection="1">
      <alignment horizontal="right" vertical="center"/>
      <protection/>
    </xf>
    <xf numFmtId="0" fontId="30" fillId="0" borderId="11" xfId="0" applyFont="1" applyBorder="1" applyAlignment="1">
      <alignment vertical="center"/>
    </xf>
    <xf numFmtId="0" fontId="13" fillId="44" borderId="20" xfId="0" applyFont="1" applyFill="1" applyBorder="1" applyAlignment="1">
      <alignment horizontal="center" vertical="center"/>
    </xf>
    <xf numFmtId="0" fontId="13" fillId="44"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30" fillId="33" borderId="0" xfId="0" applyFont="1" applyFill="1" applyAlignment="1" applyProtection="1">
      <alignment horizontal="center"/>
      <protection locked="0"/>
    </xf>
    <xf numFmtId="0" fontId="2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33" borderId="0"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xf>
    <xf numFmtId="0" fontId="1" fillId="34" borderId="26" xfId="0" applyFont="1" applyFill="1" applyBorder="1" applyAlignment="1" applyProtection="1">
      <alignment horizontal="center" vertical="center"/>
      <protection hidden="1"/>
    </xf>
    <xf numFmtId="0" fontId="1" fillId="34" borderId="27" xfId="0" applyFont="1" applyFill="1" applyBorder="1" applyAlignment="1" applyProtection="1">
      <alignment horizontal="center" vertical="center"/>
      <protection hidden="1"/>
    </xf>
    <xf numFmtId="0" fontId="30" fillId="33" borderId="0" xfId="0" applyFont="1" applyFill="1" applyAlignment="1" applyProtection="1">
      <alignment horizontal="center" vertical="top"/>
      <protection locked="0"/>
    </xf>
    <xf numFmtId="0" fontId="24"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1" fillId="33" borderId="0" xfId="0" applyFont="1" applyFill="1" applyBorder="1" applyAlignment="1" applyProtection="1">
      <alignment horizontal="center" vertical="top"/>
      <protection/>
    </xf>
    <xf numFmtId="0" fontId="0" fillId="0" borderId="0" xfId="0" applyBorder="1" applyAlignment="1">
      <alignment vertical="top"/>
    </xf>
    <xf numFmtId="0" fontId="51" fillId="33" borderId="11" xfId="0" applyFont="1" applyFill="1" applyBorder="1" applyAlignment="1" applyProtection="1">
      <alignment horizontal="left" vertical="center"/>
      <protection/>
    </xf>
    <xf numFmtId="0" fontId="1" fillId="33" borderId="0" xfId="0" applyFont="1" applyFill="1" applyAlignment="1" applyProtection="1">
      <alignment horizontal="center" vertical="center" wrapText="1"/>
      <protection/>
    </xf>
    <xf numFmtId="0" fontId="37" fillId="33" borderId="0" xfId="0" applyFont="1" applyFill="1" applyBorder="1" applyAlignment="1" applyProtection="1">
      <alignment horizontal="center" vertical="center" wrapText="1"/>
      <protection/>
    </xf>
    <xf numFmtId="0" fontId="0" fillId="0" borderId="0" xfId="0" applyFont="1" applyBorder="1" applyAlignment="1">
      <alignment vertical="top"/>
    </xf>
    <xf numFmtId="0" fontId="51" fillId="33" borderId="11" xfId="0" applyNumberFormat="1" applyFont="1" applyFill="1" applyBorder="1" applyAlignment="1" applyProtection="1">
      <alignment horizontal="left" vertical="center"/>
      <protection/>
    </xf>
    <xf numFmtId="0" fontId="7" fillId="33" borderId="0" xfId="0" applyFont="1" applyFill="1" applyAlignment="1" applyProtection="1">
      <alignment horizontal="center" vertical="center" wrapText="1"/>
      <protection/>
    </xf>
    <xf numFmtId="0" fontId="6" fillId="33" borderId="28"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30" fillId="33" borderId="0" xfId="0" applyFont="1" applyFill="1" applyBorder="1" applyAlignment="1" applyProtection="1">
      <alignment horizontal="center" vertical="top"/>
      <protection locked="0"/>
    </xf>
    <xf numFmtId="0" fontId="4" fillId="33" borderId="30" xfId="0" applyFont="1" applyFill="1" applyBorder="1" applyAlignment="1" applyProtection="1">
      <alignment horizontal="center" vertical="center"/>
      <protection/>
    </xf>
    <xf numFmtId="0" fontId="0" fillId="0" borderId="31" xfId="0" applyBorder="1" applyAlignment="1">
      <alignment/>
    </xf>
    <xf numFmtId="0" fontId="0" fillId="0" borderId="32" xfId="0" applyBorder="1" applyAlignment="1">
      <alignment/>
    </xf>
    <xf numFmtId="0" fontId="1" fillId="34" borderId="28"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29" xfId="0" applyFont="1" applyFill="1" applyBorder="1" applyAlignment="1" applyProtection="1">
      <alignment horizontal="center" vertical="center"/>
      <protection hidden="1"/>
    </xf>
    <xf numFmtId="0" fontId="6" fillId="33" borderId="26" xfId="0" applyFont="1" applyFill="1" applyBorder="1" applyAlignment="1" applyProtection="1">
      <alignment horizontal="center" vertical="top"/>
      <protection/>
    </xf>
    <xf numFmtId="0" fontId="6" fillId="33" borderId="27" xfId="0" applyFont="1" applyFill="1" applyBorder="1" applyAlignment="1" applyProtection="1">
      <alignment horizontal="center" vertical="top"/>
      <protection/>
    </xf>
    <xf numFmtId="0" fontId="6" fillId="33" borderId="33" xfId="0" applyFont="1" applyFill="1" applyBorder="1" applyAlignment="1" applyProtection="1">
      <alignment horizontal="center" vertical="top"/>
      <protection/>
    </xf>
    <xf numFmtId="0" fontId="6" fillId="33" borderId="34" xfId="0" applyFont="1" applyFill="1" applyBorder="1" applyAlignment="1" applyProtection="1">
      <alignment horizontal="center" vertical="top"/>
      <protection/>
    </xf>
    <xf numFmtId="0" fontId="6" fillId="33" borderId="35" xfId="0" applyFont="1" applyFill="1" applyBorder="1" applyAlignment="1" applyProtection="1">
      <alignment horizontal="center" vertical="top"/>
      <protection/>
    </xf>
    <xf numFmtId="0" fontId="4" fillId="33" borderId="3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top"/>
      <protection/>
    </xf>
    <xf numFmtId="0" fontId="6" fillId="33" borderId="39" xfId="0" applyFont="1" applyFill="1" applyBorder="1" applyAlignment="1" applyProtection="1">
      <alignment horizontal="center" vertical="top"/>
      <protection/>
    </xf>
    <xf numFmtId="0" fontId="25" fillId="33" borderId="19" xfId="0" applyFont="1" applyFill="1" applyBorder="1" applyAlignment="1" applyProtection="1">
      <alignment horizontal="left" vertical="center"/>
      <protection/>
    </xf>
    <xf numFmtId="0" fontId="46"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3" fillId="0" borderId="19"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19" fillId="0" borderId="19" xfId="0" applyFont="1" applyFill="1" applyBorder="1" applyAlignment="1" applyProtection="1">
      <alignment horizontal="center"/>
      <protection/>
    </xf>
    <xf numFmtId="0" fontId="19" fillId="0" borderId="17"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69</xdr:row>
      <xdr:rowOff>0</xdr:rowOff>
    </xdr:to>
    <xdr:sp>
      <xdr:nvSpPr>
        <xdr:cNvPr id="1" name="TextBox 4"/>
        <xdr:cNvSpPr txBox="1">
          <a:spLocks noChangeArrowheads="1"/>
        </xdr:cNvSpPr>
      </xdr:nvSpPr>
      <xdr:spPr>
        <a:xfrm>
          <a:off x="1085850" y="228600"/>
          <a:ext cx="645795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1"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00185" r:id="rId1"/>
  </oleObjects>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2" t="s">
        <v>43</v>
      </c>
      <c r="B1" s="28"/>
    </row>
    <row r="2" spans="1:2" ht="102.75" customHeight="1">
      <c r="A2" s="123"/>
      <c r="B2" s="124"/>
    </row>
    <row r="3" spans="1:2" ht="112.5" customHeight="1">
      <c r="A3" s="123"/>
      <c r="B3" s="123"/>
    </row>
    <row r="4" spans="1:2" ht="112.5" customHeight="1">
      <c r="A4" s="123"/>
      <c r="B4" s="123"/>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A1" sqref="A1"/>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99" t="s">
        <v>27</v>
      </c>
      <c r="D1" s="200"/>
      <c r="E1" s="200"/>
    </row>
    <row r="2" spans="1:4" ht="18" customHeight="1">
      <c r="A2" s="50" t="s">
        <v>113</v>
      </c>
      <c r="B2" s="51" t="s">
        <v>121</v>
      </c>
      <c r="C2" s="4" t="s">
        <v>28</v>
      </c>
      <c r="D2" s="5" t="s">
        <v>29</v>
      </c>
    </row>
    <row r="3" spans="1:4" ht="18" customHeight="1">
      <c r="A3" s="50" t="s">
        <v>114</v>
      </c>
      <c r="B3" s="51" t="s">
        <v>122</v>
      </c>
      <c r="C3" s="4" t="s">
        <v>4</v>
      </c>
      <c r="D3" s="54">
        <v>0.005555555555555556</v>
      </c>
    </row>
    <row r="4" spans="1:3" ht="18" customHeight="1">
      <c r="A4" s="50" t="s">
        <v>115</v>
      </c>
      <c r="B4" s="51" t="s">
        <v>123</v>
      </c>
      <c r="C4" s="7" t="s">
        <v>45</v>
      </c>
    </row>
    <row r="5" spans="1:4" ht="18" customHeight="1">
      <c r="A5" s="50" t="s">
        <v>116</v>
      </c>
      <c r="B5" s="51" t="s">
        <v>124</v>
      </c>
      <c r="C5" s="4" t="s">
        <v>5</v>
      </c>
      <c r="D5" s="55">
        <v>0.001388888888888889</v>
      </c>
    </row>
    <row r="6" spans="1:4" ht="14.25" customHeight="1">
      <c r="A6" s="88"/>
      <c r="B6" s="88"/>
      <c r="C6" s="7" t="s">
        <v>30</v>
      </c>
      <c r="D6" s="6"/>
    </row>
    <row r="7" spans="3:4" ht="14.25" customHeight="1">
      <c r="C7" s="4" t="s">
        <v>5</v>
      </c>
      <c r="D7" s="56">
        <v>0.027777777777777776</v>
      </c>
    </row>
    <row r="8" spans="1:3" ht="33" customHeight="1">
      <c r="A8" s="8" t="s">
        <v>6</v>
      </c>
      <c r="B8" s="8" t="s">
        <v>7</v>
      </c>
      <c r="C8" s="7" t="s">
        <v>73</v>
      </c>
    </row>
    <row r="9" spans="1:4" ht="18" customHeight="1">
      <c r="A9" s="52" t="s">
        <v>117</v>
      </c>
      <c r="B9" s="53" t="s">
        <v>125</v>
      </c>
      <c r="C9" s="4" t="s">
        <v>4</v>
      </c>
      <c r="D9" s="158">
        <v>0.008333333333333333</v>
      </c>
    </row>
    <row r="10" spans="1:3" ht="18" customHeight="1">
      <c r="A10" s="52" t="s">
        <v>118</v>
      </c>
      <c r="B10" s="53" t="s">
        <v>126</v>
      </c>
      <c r="C10" s="7" t="s">
        <v>129</v>
      </c>
    </row>
    <row r="11" spans="1:2" ht="18" customHeight="1">
      <c r="A11" s="52" t="s">
        <v>119</v>
      </c>
      <c r="B11" s="53" t="s">
        <v>127</v>
      </c>
    </row>
    <row r="12" spans="1:4" ht="18" customHeight="1">
      <c r="A12" s="52" t="s">
        <v>120</v>
      </c>
      <c r="B12" s="53" t="s">
        <v>128</v>
      </c>
      <c r="C12" s="113" t="s">
        <v>31</v>
      </c>
      <c r="D12" s="113"/>
    </row>
    <row r="13" spans="1:4" ht="18" customHeight="1">
      <c r="A13" s="88"/>
      <c r="B13" s="88"/>
      <c r="C13" s="114" t="s">
        <v>72</v>
      </c>
      <c r="D13" s="115">
        <v>0.3958333333333333</v>
      </c>
    </row>
    <row r="14" ht="12.75">
      <c r="C14" s="113" t="s">
        <v>49</v>
      </c>
    </row>
    <row r="15" spans="1:4" ht="18" customHeight="1">
      <c r="A15" s="88"/>
      <c r="B15" s="88"/>
      <c r="C15" s="114" t="s">
        <v>72</v>
      </c>
      <c r="D15" s="115">
        <v>0.576388888888889</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IV67"/>
  <sheetViews>
    <sheetView showRowColHeaders="0" zoomScalePageLayoutView="0" workbookViewId="0" topLeftCell="A1">
      <selection activeCell="D37" sqref="D37"/>
    </sheetView>
  </sheetViews>
  <sheetFormatPr defaultColWidth="11.421875" defaultRowHeight="12.75"/>
  <cols>
    <col min="1" max="1" width="12.7109375" style="66" customWidth="1"/>
    <col min="2" max="2" width="5.421875" style="64" customWidth="1"/>
    <col min="3" max="3" width="5.421875" style="65" customWidth="1"/>
    <col min="4" max="4" width="5.7109375" style="64" customWidth="1"/>
    <col min="5" max="5" width="29.00390625" style="59" customWidth="1"/>
    <col min="6" max="6" width="1.57421875" style="57" customWidth="1"/>
    <col min="7" max="7" width="29.00390625" style="59" customWidth="1"/>
    <col min="8" max="8" width="4.57421875" style="57" customWidth="1"/>
    <col min="9" max="9" width="1.7109375" style="59" customWidth="1"/>
    <col min="10" max="10" width="4.57421875" style="57" customWidth="1"/>
    <col min="11" max="16384" width="11.421875" style="57" customWidth="1"/>
  </cols>
  <sheetData>
    <row r="1" spans="1:10" s="58" customFormat="1" ht="16.5" customHeight="1">
      <c r="A1" s="204" t="s">
        <v>0</v>
      </c>
      <c r="B1" s="205"/>
      <c r="C1" s="205"/>
      <c r="D1" s="206"/>
      <c r="E1" s="57"/>
      <c r="G1" s="207" t="s">
        <v>3</v>
      </c>
      <c r="H1" s="207"/>
      <c r="I1" s="116"/>
      <c r="J1" s="116"/>
    </row>
    <row r="2" spans="1:10" ht="12.75">
      <c r="A2" s="209" t="str">
        <f>Vorgaben!A2</f>
        <v>KJG Burner</v>
      </c>
      <c r="B2" s="210"/>
      <c r="C2" s="210"/>
      <c r="D2" s="211"/>
      <c r="E2" s="57"/>
      <c r="G2" s="208" t="str">
        <f>Vorgaben!B2</f>
        <v>KJG Walldorf</v>
      </c>
      <c r="H2" s="208"/>
      <c r="I2" s="121"/>
      <c r="J2" s="121"/>
    </row>
    <row r="3" spans="1:10" ht="12.75">
      <c r="A3" s="209" t="str">
        <f>Vorgaben!A3</f>
        <v>KJG Wiesloch</v>
      </c>
      <c r="B3" s="210"/>
      <c r="C3" s="210"/>
      <c r="D3" s="211"/>
      <c r="E3" s="57"/>
      <c r="G3" s="208" t="str">
        <f>Vorgaben!B3</f>
        <v>Hl. Kreuz</v>
      </c>
      <c r="H3" s="208"/>
      <c r="I3" s="121"/>
      <c r="J3" s="121"/>
    </row>
    <row r="4" spans="1:10" ht="12.75">
      <c r="A4" s="209" t="str">
        <f>Vorgaben!A4</f>
        <v>Minis Forst II</v>
      </c>
      <c r="B4" s="210"/>
      <c r="C4" s="210"/>
      <c r="D4" s="211"/>
      <c r="E4" s="57"/>
      <c r="G4" s="208" t="str">
        <f>Vorgaben!B4</f>
        <v>Minis Rot</v>
      </c>
      <c r="H4" s="208"/>
      <c r="I4" s="121"/>
      <c r="J4" s="121"/>
    </row>
    <row r="5" spans="1:10" ht="12.75">
      <c r="A5" s="209" t="str">
        <f>Vorgaben!A5</f>
        <v>Natural Born Kickers</v>
      </c>
      <c r="B5" s="210"/>
      <c r="C5" s="210"/>
      <c r="D5" s="211"/>
      <c r="E5" s="57"/>
      <c r="G5" s="208" t="str">
        <f>Vorgaben!B5</f>
        <v>Die Bierbauchkicker</v>
      </c>
      <c r="H5" s="208"/>
      <c r="I5" s="121"/>
      <c r="J5" s="121"/>
    </row>
    <row r="6" spans="7:10" ht="24.75" customHeight="1">
      <c r="G6" s="119"/>
      <c r="H6" s="120"/>
      <c r="I6" s="119"/>
      <c r="J6" s="120"/>
    </row>
    <row r="7" spans="1:10" ht="12.75">
      <c r="A7" s="204" t="s">
        <v>6</v>
      </c>
      <c r="B7" s="205" t="s">
        <v>1</v>
      </c>
      <c r="C7" s="205" t="s">
        <v>2</v>
      </c>
      <c r="D7" s="206"/>
      <c r="G7" s="204" t="s">
        <v>7</v>
      </c>
      <c r="H7" s="206"/>
      <c r="I7" s="116"/>
      <c r="J7" s="116"/>
    </row>
    <row r="8" spans="1:10" ht="12.75">
      <c r="A8" s="209" t="str">
        <f>Vorgaben!A9</f>
        <v>ALFons</v>
      </c>
      <c r="B8" s="210"/>
      <c r="C8" s="210"/>
      <c r="D8" s="211"/>
      <c r="G8" s="208" t="str">
        <f>Vorgaben!B9</f>
        <v>Minis Mühlhausen/Rettigheim</v>
      </c>
      <c r="H8" s="208"/>
      <c r="I8" s="121"/>
      <c r="J8" s="121"/>
    </row>
    <row r="9" spans="1:10" ht="12.75">
      <c r="A9" s="209" t="str">
        <f>Vorgaben!A10</f>
        <v>Mini Kenzingen</v>
      </c>
      <c r="B9" s="210"/>
      <c r="C9" s="210"/>
      <c r="D9" s="211"/>
      <c r="G9" s="208" t="str">
        <f>Vorgaben!B10</f>
        <v>Bolzplatzkickers</v>
      </c>
      <c r="H9" s="208"/>
      <c r="I9" s="121"/>
      <c r="J9" s="121"/>
    </row>
    <row r="10" spans="1:10" ht="12.75">
      <c r="A10" s="209" t="str">
        <f>Vorgaben!A11</f>
        <v>Himmelsstürmer</v>
      </c>
      <c r="B10" s="210"/>
      <c r="C10" s="210"/>
      <c r="D10" s="211"/>
      <c r="G10" s="208" t="str">
        <f>Vorgaben!B11</f>
        <v>Letzenbergkicker</v>
      </c>
      <c r="H10" s="208"/>
      <c r="I10" s="121"/>
      <c r="J10" s="121"/>
    </row>
    <row r="11" spans="1:10" ht="12.75">
      <c r="A11" s="209" t="str">
        <f>Vorgaben!A12</f>
        <v>Minis Forst I</v>
      </c>
      <c r="B11" s="210"/>
      <c r="C11" s="210"/>
      <c r="D11" s="211"/>
      <c r="G11" s="208" t="str">
        <f>Vorgaben!B12</f>
        <v>ALFons Allstars</v>
      </c>
      <c r="H11" s="208"/>
      <c r="I11" s="121"/>
      <c r="J11" s="121"/>
    </row>
    <row r="13" spans="1:10" s="60" customFormat="1" ht="33" customHeight="1">
      <c r="A13" s="60" t="s">
        <v>8</v>
      </c>
      <c r="B13" s="60" t="s">
        <v>9</v>
      </c>
      <c r="C13" s="201" t="s">
        <v>10</v>
      </c>
      <c r="D13" s="201"/>
      <c r="E13" s="61" t="s">
        <v>11</v>
      </c>
      <c r="F13" s="61"/>
      <c r="G13" s="61"/>
      <c r="H13" s="62" t="s">
        <v>12</v>
      </c>
      <c r="I13" s="63"/>
      <c r="J13" s="63"/>
    </row>
    <row r="14" spans="1:10" s="188" customFormat="1" ht="19.5" customHeight="1">
      <c r="A14" s="162">
        <f>Vorgaben!D13</f>
        <v>0.3958333333333333</v>
      </c>
      <c r="B14" s="163">
        <v>1</v>
      </c>
      <c r="C14" s="164" t="s">
        <v>13</v>
      </c>
      <c r="D14" s="165" t="s">
        <v>130</v>
      </c>
      <c r="E14" s="166" t="str">
        <f>A2</f>
        <v>KJG Burner</v>
      </c>
      <c r="F14" s="167" t="s">
        <v>14</v>
      </c>
      <c r="G14" s="168" t="str">
        <f>A3</f>
        <v>KJG Wiesloch</v>
      </c>
      <c r="H14" s="189"/>
      <c r="I14" s="167" t="s">
        <v>15</v>
      </c>
      <c r="J14" s="190"/>
    </row>
    <row r="15" spans="1:10" s="188" customFormat="1" ht="19.5" customHeight="1">
      <c r="A15" s="169">
        <f>A14</f>
        <v>0.3958333333333333</v>
      </c>
      <c r="B15" s="140">
        <v>2</v>
      </c>
      <c r="C15" s="170" t="s">
        <v>13</v>
      </c>
      <c r="D15" s="171" t="s">
        <v>131</v>
      </c>
      <c r="E15" s="172" t="str">
        <f>A4</f>
        <v>Minis Forst II</v>
      </c>
      <c r="F15" s="173" t="s">
        <v>14</v>
      </c>
      <c r="G15" s="105" t="str">
        <f>A5</f>
        <v>Natural Born Kickers</v>
      </c>
      <c r="H15" s="182"/>
      <c r="I15" s="173" t="s">
        <v>15</v>
      </c>
      <c r="J15" s="191"/>
    </row>
    <row r="16" spans="1:10" s="188" customFormat="1" ht="19.5" customHeight="1">
      <c r="A16" s="169">
        <f>A14</f>
        <v>0.3958333333333333</v>
      </c>
      <c r="B16" s="140">
        <v>3</v>
      </c>
      <c r="C16" s="170" t="s">
        <v>16</v>
      </c>
      <c r="D16" s="171" t="s">
        <v>132</v>
      </c>
      <c r="E16" s="172" t="str">
        <f>A8</f>
        <v>ALFons</v>
      </c>
      <c r="F16" s="173" t="s">
        <v>14</v>
      </c>
      <c r="G16" s="105" t="str">
        <f>A9</f>
        <v>Mini Kenzingen</v>
      </c>
      <c r="H16" s="182"/>
      <c r="I16" s="173" t="s">
        <v>15</v>
      </c>
      <c r="J16" s="191"/>
    </row>
    <row r="17" spans="1:10" s="188" customFormat="1" ht="19.5" customHeight="1">
      <c r="A17" s="162">
        <f>A15+Vorgaben!$D$3+Vorgaben!$D$5</f>
        <v>0.40277777777777773</v>
      </c>
      <c r="B17" s="163">
        <v>4</v>
      </c>
      <c r="C17" s="164" t="s">
        <v>16</v>
      </c>
      <c r="D17" s="165" t="s">
        <v>130</v>
      </c>
      <c r="E17" s="166" t="str">
        <f>A10</f>
        <v>Himmelsstürmer</v>
      </c>
      <c r="F17" s="167" t="s">
        <v>14</v>
      </c>
      <c r="G17" s="168" t="str">
        <f>A11</f>
        <v>Minis Forst I</v>
      </c>
      <c r="H17" s="189"/>
      <c r="I17" s="167" t="s">
        <v>15</v>
      </c>
      <c r="J17" s="190"/>
    </row>
    <row r="18" spans="1:10" s="188" customFormat="1" ht="19.5" customHeight="1">
      <c r="A18" s="169">
        <f>A17</f>
        <v>0.40277777777777773</v>
      </c>
      <c r="B18" s="140">
        <v>5</v>
      </c>
      <c r="C18" s="170" t="s">
        <v>17</v>
      </c>
      <c r="D18" s="171" t="s">
        <v>131</v>
      </c>
      <c r="E18" s="172" t="str">
        <f>G2</f>
        <v>KJG Walldorf</v>
      </c>
      <c r="F18" s="173" t="s">
        <v>14</v>
      </c>
      <c r="G18" s="105" t="str">
        <f>G3</f>
        <v>Hl. Kreuz</v>
      </c>
      <c r="H18" s="182"/>
      <c r="I18" s="173" t="s">
        <v>15</v>
      </c>
      <c r="J18" s="191"/>
    </row>
    <row r="19" spans="1:256" s="188" customFormat="1" ht="19.5" customHeight="1">
      <c r="A19" s="174">
        <f>A18</f>
        <v>0.40277777777777773</v>
      </c>
      <c r="B19" s="175">
        <v>6</v>
      </c>
      <c r="C19" s="176" t="s">
        <v>17</v>
      </c>
      <c r="D19" s="171" t="s">
        <v>132</v>
      </c>
      <c r="E19" s="177" t="str">
        <f>G4</f>
        <v>Minis Rot</v>
      </c>
      <c r="F19" s="178" t="s">
        <v>14</v>
      </c>
      <c r="G19" s="179" t="str">
        <f>G5</f>
        <v>Die Bierbauchkicker</v>
      </c>
      <c r="H19" s="192"/>
      <c r="I19" s="178" t="s">
        <v>15</v>
      </c>
      <c r="J19" s="193"/>
      <c r="K19" s="147"/>
      <c r="L19" s="140"/>
      <c r="M19" s="170"/>
      <c r="N19" s="171"/>
      <c r="O19" s="172"/>
      <c r="P19" s="173"/>
      <c r="Q19" s="105"/>
      <c r="R19" s="182"/>
      <c r="S19" s="173"/>
      <c r="T19" s="183"/>
      <c r="U19" s="147"/>
      <c r="V19" s="140"/>
      <c r="W19" s="170"/>
      <c r="X19" s="171"/>
      <c r="Y19" s="172"/>
      <c r="Z19" s="173"/>
      <c r="AA19" s="105"/>
      <c r="AB19" s="182"/>
      <c r="AC19" s="173"/>
      <c r="AD19" s="183"/>
      <c r="AE19" s="147"/>
      <c r="AF19" s="140"/>
      <c r="AG19" s="170"/>
      <c r="AH19" s="171"/>
      <c r="AI19" s="172"/>
      <c r="AJ19" s="173"/>
      <c r="AK19" s="105"/>
      <c r="AL19" s="182"/>
      <c r="AM19" s="173"/>
      <c r="AN19" s="183"/>
      <c r="AO19" s="147"/>
      <c r="AP19" s="140"/>
      <c r="AQ19" s="170"/>
      <c r="AR19" s="171"/>
      <c r="AS19" s="172"/>
      <c r="AT19" s="173"/>
      <c r="AU19" s="105"/>
      <c r="AV19" s="182"/>
      <c r="AW19" s="173"/>
      <c r="AX19" s="183"/>
      <c r="AY19" s="147"/>
      <c r="AZ19" s="140"/>
      <c r="BA19" s="170"/>
      <c r="BB19" s="171"/>
      <c r="BC19" s="172"/>
      <c r="BD19" s="173"/>
      <c r="BE19" s="105"/>
      <c r="BF19" s="182"/>
      <c r="BG19" s="173"/>
      <c r="BH19" s="183"/>
      <c r="BI19" s="147"/>
      <c r="BJ19" s="140"/>
      <c r="BK19" s="170"/>
      <c r="BL19" s="171"/>
      <c r="BM19" s="172"/>
      <c r="BN19" s="173"/>
      <c r="BO19" s="105"/>
      <c r="BP19" s="182"/>
      <c r="BQ19" s="173"/>
      <c r="BR19" s="183"/>
      <c r="BS19" s="147"/>
      <c r="BT19" s="140"/>
      <c r="BU19" s="170"/>
      <c r="BV19" s="171"/>
      <c r="BW19" s="172"/>
      <c r="BX19" s="173"/>
      <c r="BY19" s="105"/>
      <c r="BZ19" s="182"/>
      <c r="CA19" s="173"/>
      <c r="CB19" s="183"/>
      <c r="CC19" s="147"/>
      <c r="CD19" s="140"/>
      <c r="CE19" s="170"/>
      <c r="CF19" s="171"/>
      <c r="CG19" s="172"/>
      <c r="CH19" s="173"/>
      <c r="CI19" s="105"/>
      <c r="CJ19" s="182"/>
      <c r="CK19" s="173"/>
      <c r="CL19" s="183"/>
      <c r="CM19" s="147"/>
      <c r="CN19" s="140"/>
      <c r="CO19" s="170"/>
      <c r="CP19" s="171"/>
      <c r="CQ19" s="172"/>
      <c r="CR19" s="173"/>
      <c r="CS19" s="105"/>
      <c r="CT19" s="182"/>
      <c r="CU19" s="173"/>
      <c r="CV19" s="183"/>
      <c r="CW19" s="147"/>
      <c r="CX19" s="140"/>
      <c r="CY19" s="170"/>
      <c r="CZ19" s="171"/>
      <c r="DA19" s="172"/>
      <c r="DB19" s="173"/>
      <c r="DC19" s="105"/>
      <c r="DD19" s="182"/>
      <c r="DE19" s="173"/>
      <c r="DF19" s="183"/>
      <c r="DG19" s="147"/>
      <c r="DH19" s="140"/>
      <c r="DI19" s="170"/>
      <c r="DJ19" s="171"/>
      <c r="DK19" s="172"/>
      <c r="DL19" s="173"/>
      <c r="DM19" s="105"/>
      <c r="DN19" s="182"/>
      <c r="DO19" s="173"/>
      <c r="DP19" s="183"/>
      <c r="DQ19" s="147"/>
      <c r="DR19" s="140"/>
      <c r="DS19" s="170"/>
      <c r="DT19" s="171"/>
      <c r="DU19" s="172"/>
      <c r="DV19" s="173"/>
      <c r="DW19" s="105"/>
      <c r="DX19" s="182"/>
      <c r="DY19" s="173"/>
      <c r="DZ19" s="183"/>
      <c r="EA19" s="147"/>
      <c r="EB19" s="140"/>
      <c r="EC19" s="170"/>
      <c r="ED19" s="171"/>
      <c r="EE19" s="172"/>
      <c r="EF19" s="173"/>
      <c r="EG19" s="105"/>
      <c r="EH19" s="182"/>
      <c r="EI19" s="173"/>
      <c r="EJ19" s="183"/>
      <c r="EK19" s="147"/>
      <c r="EL19" s="140"/>
      <c r="EM19" s="170"/>
      <c r="EN19" s="171"/>
      <c r="EO19" s="172"/>
      <c r="EP19" s="173"/>
      <c r="EQ19" s="105"/>
      <c r="ER19" s="182"/>
      <c r="ES19" s="173"/>
      <c r="ET19" s="183"/>
      <c r="EU19" s="147"/>
      <c r="EV19" s="140"/>
      <c r="EW19" s="170"/>
      <c r="EX19" s="171"/>
      <c r="EY19" s="172"/>
      <c r="EZ19" s="173"/>
      <c r="FA19" s="105"/>
      <c r="FB19" s="182"/>
      <c r="FC19" s="173"/>
      <c r="FD19" s="183"/>
      <c r="FE19" s="147"/>
      <c r="FF19" s="140"/>
      <c r="FG19" s="170"/>
      <c r="FH19" s="171"/>
      <c r="FI19" s="172"/>
      <c r="FJ19" s="173"/>
      <c r="FK19" s="105"/>
      <c r="FL19" s="182"/>
      <c r="FM19" s="173"/>
      <c r="FN19" s="183"/>
      <c r="FO19" s="147"/>
      <c r="FP19" s="140"/>
      <c r="FQ19" s="170"/>
      <c r="FR19" s="171"/>
      <c r="FS19" s="172"/>
      <c r="FT19" s="173"/>
      <c r="FU19" s="105"/>
      <c r="FV19" s="182"/>
      <c r="FW19" s="173"/>
      <c r="FX19" s="183"/>
      <c r="FY19" s="147"/>
      <c r="FZ19" s="140"/>
      <c r="GA19" s="170"/>
      <c r="GB19" s="171"/>
      <c r="GC19" s="172"/>
      <c r="GD19" s="173"/>
      <c r="GE19" s="105"/>
      <c r="GF19" s="182"/>
      <c r="GG19" s="173"/>
      <c r="GH19" s="183"/>
      <c r="GI19" s="147"/>
      <c r="GJ19" s="140"/>
      <c r="GK19" s="170"/>
      <c r="GL19" s="171"/>
      <c r="GM19" s="172"/>
      <c r="GN19" s="173"/>
      <c r="GO19" s="105"/>
      <c r="GP19" s="182"/>
      <c r="GQ19" s="173"/>
      <c r="GR19" s="183"/>
      <c r="GS19" s="147"/>
      <c r="GT19" s="140"/>
      <c r="GU19" s="170"/>
      <c r="GV19" s="171"/>
      <c r="GW19" s="172"/>
      <c r="GX19" s="173"/>
      <c r="GY19" s="105"/>
      <c r="GZ19" s="182"/>
      <c r="HA19" s="173"/>
      <c r="HB19" s="183"/>
      <c r="HC19" s="147"/>
      <c r="HD19" s="140"/>
      <c r="HE19" s="170"/>
      <c r="HF19" s="171"/>
      <c r="HG19" s="172"/>
      <c r="HH19" s="173"/>
      <c r="HI19" s="105"/>
      <c r="HJ19" s="182"/>
      <c r="HK19" s="173"/>
      <c r="HL19" s="183"/>
      <c r="HM19" s="147"/>
      <c r="HN19" s="140"/>
      <c r="HO19" s="170"/>
      <c r="HP19" s="171"/>
      <c r="HQ19" s="172"/>
      <c r="HR19" s="173"/>
      <c r="HS19" s="105"/>
      <c r="HT19" s="182"/>
      <c r="HU19" s="173"/>
      <c r="HV19" s="183"/>
      <c r="HW19" s="147"/>
      <c r="HX19" s="140"/>
      <c r="HY19" s="170"/>
      <c r="HZ19" s="171"/>
      <c r="IA19" s="172"/>
      <c r="IB19" s="173"/>
      <c r="IC19" s="105"/>
      <c r="ID19" s="182"/>
      <c r="IE19" s="173"/>
      <c r="IF19" s="183"/>
      <c r="IG19" s="147"/>
      <c r="IH19" s="140"/>
      <c r="II19" s="170"/>
      <c r="IJ19" s="171"/>
      <c r="IK19" s="172"/>
      <c r="IL19" s="173"/>
      <c r="IM19" s="105"/>
      <c r="IN19" s="182"/>
      <c r="IO19" s="173"/>
      <c r="IP19" s="183"/>
      <c r="IQ19" s="147"/>
      <c r="IR19" s="140"/>
      <c r="IS19" s="170"/>
      <c r="IT19" s="171"/>
      <c r="IU19" s="172"/>
      <c r="IV19" s="173"/>
    </row>
    <row r="20" spans="1:10" s="188" customFormat="1" ht="19.5" customHeight="1">
      <c r="A20" s="162">
        <f>A18+Vorgaben!$D$3+Vorgaben!$D$5</f>
        <v>0.40972222222222215</v>
      </c>
      <c r="B20" s="163">
        <v>7</v>
      </c>
      <c r="C20" s="164" t="s">
        <v>18</v>
      </c>
      <c r="D20" s="165" t="s">
        <v>130</v>
      </c>
      <c r="E20" s="166" t="str">
        <f>G8</f>
        <v>Minis Mühlhausen/Rettigheim</v>
      </c>
      <c r="F20" s="167" t="s">
        <v>14</v>
      </c>
      <c r="G20" s="168" t="str">
        <f>G9</f>
        <v>Bolzplatzkickers</v>
      </c>
      <c r="H20" s="189"/>
      <c r="I20" s="167" t="s">
        <v>15</v>
      </c>
      <c r="J20" s="190"/>
    </row>
    <row r="21" spans="1:10" s="188" customFormat="1" ht="19.5" customHeight="1">
      <c r="A21" s="169">
        <f>A20</f>
        <v>0.40972222222222215</v>
      </c>
      <c r="B21" s="140">
        <v>8</v>
      </c>
      <c r="C21" s="170" t="s">
        <v>18</v>
      </c>
      <c r="D21" s="171" t="s">
        <v>131</v>
      </c>
      <c r="E21" s="172" t="str">
        <f>G10</f>
        <v>Letzenbergkicker</v>
      </c>
      <c r="F21" s="173" t="s">
        <v>14</v>
      </c>
      <c r="G21" s="105" t="str">
        <f>G11</f>
        <v>ALFons Allstars</v>
      </c>
      <c r="H21" s="182"/>
      <c r="I21" s="173" t="s">
        <v>15</v>
      </c>
      <c r="J21" s="191"/>
    </row>
    <row r="22" spans="1:256" s="188" customFormat="1" ht="19.5" customHeight="1">
      <c r="A22" s="174">
        <f>A21</f>
        <v>0.40972222222222215</v>
      </c>
      <c r="B22" s="175">
        <v>9</v>
      </c>
      <c r="C22" s="176" t="s">
        <v>13</v>
      </c>
      <c r="D22" s="171" t="s">
        <v>132</v>
      </c>
      <c r="E22" s="177" t="str">
        <f>A2</f>
        <v>KJG Burner</v>
      </c>
      <c r="F22" s="178" t="s">
        <v>14</v>
      </c>
      <c r="G22" s="179" t="str">
        <f>A4</f>
        <v>Minis Forst II</v>
      </c>
      <c r="H22" s="192"/>
      <c r="I22" s="178" t="s">
        <v>15</v>
      </c>
      <c r="J22" s="193"/>
      <c r="K22" s="147"/>
      <c r="L22" s="140"/>
      <c r="M22" s="170"/>
      <c r="N22" s="171"/>
      <c r="O22" s="172"/>
      <c r="P22" s="173"/>
      <c r="Q22" s="105"/>
      <c r="R22" s="182"/>
      <c r="S22" s="173"/>
      <c r="T22" s="183"/>
      <c r="U22" s="147"/>
      <c r="V22" s="140"/>
      <c r="W22" s="170"/>
      <c r="X22" s="171"/>
      <c r="Y22" s="172"/>
      <c r="Z22" s="173"/>
      <c r="AA22" s="105"/>
      <c r="AB22" s="182"/>
      <c r="AC22" s="173"/>
      <c r="AD22" s="183"/>
      <c r="AE22" s="147"/>
      <c r="AF22" s="140"/>
      <c r="AG22" s="170"/>
      <c r="AH22" s="171"/>
      <c r="AI22" s="172"/>
      <c r="AJ22" s="173"/>
      <c r="AK22" s="105"/>
      <c r="AL22" s="182"/>
      <c r="AM22" s="173"/>
      <c r="AN22" s="183"/>
      <c r="AO22" s="147"/>
      <c r="AP22" s="140"/>
      <c r="AQ22" s="170"/>
      <c r="AR22" s="171"/>
      <c r="AS22" s="172"/>
      <c r="AT22" s="173"/>
      <c r="AU22" s="105"/>
      <c r="AV22" s="182"/>
      <c r="AW22" s="173"/>
      <c r="AX22" s="183"/>
      <c r="AY22" s="147"/>
      <c r="AZ22" s="140"/>
      <c r="BA22" s="170"/>
      <c r="BB22" s="171"/>
      <c r="BC22" s="172"/>
      <c r="BD22" s="173"/>
      <c r="BE22" s="105"/>
      <c r="BF22" s="182"/>
      <c r="BG22" s="173"/>
      <c r="BH22" s="183"/>
      <c r="BI22" s="147"/>
      <c r="BJ22" s="140"/>
      <c r="BK22" s="170"/>
      <c r="BL22" s="171"/>
      <c r="BM22" s="172"/>
      <c r="BN22" s="173"/>
      <c r="BO22" s="105"/>
      <c r="BP22" s="182"/>
      <c r="BQ22" s="173"/>
      <c r="BR22" s="183"/>
      <c r="BS22" s="147"/>
      <c r="BT22" s="140"/>
      <c r="BU22" s="170"/>
      <c r="BV22" s="171"/>
      <c r="BW22" s="172"/>
      <c r="BX22" s="173"/>
      <c r="BY22" s="105"/>
      <c r="BZ22" s="182"/>
      <c r="CA22" s="173"/>
      <c r="CB22" s="183"/>
      <c r="CC22" s="147"/>
      <c r="CD22" s="140"/>
      <c r="CE22" s="170"/>
      <c r="CF22" s="171"/>
      <c r="CG22" s="172"/>
      <c r="CH22" s="173"/>
      <c r="CI22" s="105"/>
      <c r="CJ22" s="182"/>
      <c r="CK22" s="173"/>
      <c r="CL22" s="183"/>
      <c r="CM22" s="147"/>
      <c r="CN22" s="140"/>
      <c r="CO22" s="170"/>
      <c r="CP22" s="171"/>
      <c r="CQ22" s="172"/>
      <c r="CR22" s="173"/>
      <c r="CS22" s="105"/>
      <c r="CT22" s="182"/>
      <c r="CU22" s="173"/>
      <c r="CV22" s="183"/>
      <c r="CW22" s="147"/>
      <c r="CX22" s="140"/>
      <c r="CY22" s="170"/>
      <c r="CZ22" s="171"/>
      <c r="DA22" s="172"/>
      <c r="DB22" s="173"/>
      <c r="DC22" s="105"/>
      <c r="DD22" s="182"/>
      <c r="DE22" s="173"/>
      <c r="DF22" s="183"/>
      <c r="DG22" s="147"/>
      <c r="DH22" s="140"/>
      <c r="DI22" s="170"/>
      <c r="DJ22" s="171"/>
      <c r="DK22" s="172"/>
      <c r="DL22" s="173"/>
      <c r="DM22" s="105"/>
      <c r="DN22" s="182"/>
      <c r="DO22" s="173"/>
      <c r="DP22" s="183"/>
      <c r="DQ22" s="147"/>
      <c r="DR22" s="140"/>
      <c r="DS22" s="170"/>
      <c r="DT22" s="171"/>
      <c r="DU22" s="172"/>
      <c r="DV22" s="173"/>
      <c r="DW22" s="105"/>
      <c r="DX22" s="182"/>
      <c r="DY22" s="173"/>
      <c r="DZ22" s="183"/>
      <c r="EA22" s="147"/>
      <c r="EB22" s="140"/>
      <c r="EC22" s="170"/>
      <c r="ED22" s="171"/>
      <c r="EE22" s="172"/>
      <c r="EF22" s="173"/>
      <c r="EG22" s="105"/>
      <c r="EH22" s="182"/>
      <c r="EI22" s="173"/>
      <c r="EJ22" s="183"/>
      <c r="EK22" s="147"/>
      <c r="EL22" s="140"/>
      <c r="EM22" s="170"/>
      <c r="EN22" s="171"/>
      <c r="EO22" s="172"/>
      <c r="EP22" s="173"/>
      <c r="EQ22" s="105"/>
      <c r="ER22" s="182"/>
      <c r="ES22" s="173"/>
      <c r="ET22" s="183"/>
      <c r="EU22" s="147"/>
      <c r="EV22" s="140"/>
      <c r="EW22" s="170"/>
      <c r="EX22" s="171"/>
      <c r="EY22" s="172"/>
      <c r="EZ22" s="173"/>
      <c r="FA22" s="105"/>
      <c r="FB22" s="182"/>
      <c r="FC22" s="173"/>
      <c r="FD22" s="183"/>
      <c r="FE22" s="147"/>
      <c r="FF22" s="140"/>
      <c r="FG22" s="170"/>
      <c r="FH22" s="171"/>
      <c r="FI22" s="172"/>
      <c r="FJ22" s="173"/>
      <c r="FK22" s="105"/>
      <c r="FL22" s="182"/>
      <c r="FM22" s="173"/>
      <c r="FN22" s="183"/>
      <c r="FO22" s="147"/>
      <c r="FP22" s="140"/>
      <c r="FQ22" s="170"/>
      <c r="FR22" s="171"/>
      <c r="FS22" s="172"/>
      <c r="FT22" s="173"/>
      <c r="FU22" s="105"/>
      <c r="FV22" s="182"/>
      <c r="FW22" s="173"/>
      <c r="FX22" s="183"/>
      <c r="FY22" s="147"/>
      <c r="FZ22" s="140"/>
      <c r="GA22" s="170"/>
      <c r="GB22" s="171"/>
      <c r="GC22" s="172"/>
      <c r="GD22" s="173"/>
      <c r="GE22" s="105"/>
      <c r="GF22" s="182"/>
      <c r="GG22" s="173"/>
      <c r="GH22" s="183"/>
      <c r="GI22" s="147"/>
      <c r="GJ22" s="140"/>
      <c r="GK22" s="170"/>
      <c r="GL22" s="171"/>
      <c r="GM22" s="172"/>
      <c r="GN22" s="173"/>
      <c r="GO22" s="105"/>
      <c r="GP22" s="182"/>
      <c r="GQ22" s="173"/>
      <c r="GR22" s="183"/>
      <c r="GS22" s="147"/>
      <c r="GT22" s="140"/>
      <c r="GU22" s="170"/>
      <c r="GV22" s="171"/>
      <c r="GW22" s="172"/>
      <c r="GX22" s="173"/>
      <c r="GY22" s="105"/>
      <c r="GZ22" s="182"/>
      <c r="HA22" s="173"/>
      <c r="HB22" s="183"/>
      <c r="HC22" s="147"/>
      <c r="HD22" s="140"/>
      <c r="HE22" s="170"/>
      <c r="HF22" s="171"/>
      <c r="HG22" s="172"/>
      <c r="HH22" s="173"/>
      <c r="HI22" s="105"/>
      <c r="HJ22" s="182"/>
      <c r="HK22" s="173"/>
      <c r="HL22" s="183"/>
      <c r="HM22" s="147"/>
      <c r="HN22" s="140"/>
      <c r="HO22" s="170"/>
      <c r="HP22" s="171"/>
      <c r="HQ22" s="172"/>
      <c r="HR22" s="173"/>
      <c r="HS22" s="105"/>
      <c r="HT22" s="182"/>
      <c r="HU22" s="173"/>
      <c r="HV22" s="183"/>
      <c r="HW22" s="147"/>
      <c r="HX22" s="140"/>
      <c r="HY22" s="170"/>
      <c r="HZ22" s="171"/>
      <c r="IA22" s="172"/>
      <c r="IB22" s="173"/>
      <c r="IC22" s="105"/>
      <c r="ID22" s="182"/>
      <c r="IE22" s="173"/>
      <c r="IF22" s="183"/>
      <c r="IG22" s="147"/>
      <c r="IH22" s="140"/>
      <c r="II22" s="170"/>
      <c r="IJ22" s="171"/>
      <c r="IK22" s="172"/>
      <c r="IL22" s="173"/>
      <c r="IM22" s="105"/>
      <c r="IN22" s="182"/>
      <c r="IO22" s="173"/>
      <c r="IP22" s="183"/>
      <c r="IQ22" s="147"/>
      <c r="IR22" s="140"/>
      <c r="IS22" s="170"/>
      <c r="IT22" s="171"/>
      <c r="IU22" s="172"/>
      <c r="IV22" s="173"/>
    </row>
    <row r="23" spans="1:10" s="188" customFormat="1" ht="19.5" customHeight="1">
      <c r="A23" s="162">
        <f>A21+Vorgaben!$D$3+Vorgaben!$D$5</f>
        <v>0.4166666666666666</v>
      </c>
      <c r="B23" s="163">
        <v>10</v>
      </c>
      <c r="C23" s="164" t="s">
        <v>13</v>
      </c>
      <c r="D23" s="165" t="s">
        <v>130</v>
      </c>
      <c r="E23" s="166" t="str">
        <f>A3</f>
        <v>KJG Wiesloch</v>
      </c>
      <c r="F23" s="167" t="s">
        <v>14</v>
      </c>
      <c r="G23" s="168" t="str">
        <f>A5</f>
        <v>Natural Born Kickers</v>
      </c>
      <c r="H23" s="189"/>
      <c r="I23" s="167" t="s">
        <v>15</v>
      </c>
      <c r="J23" s="190"/>
    </row>
    <row r="24" spans="1:10" s="188" customFormat="1" ht="19.5" customHeight="1">
      <c r="A24" s="169">
        <f>A23</f>
        <v>0.4166666666666666</v>
      </c>
      <c r="B24" s="140">
        <v>11</v>
      </c>
      <c r="C24" s="170" t="s">
        <v>16</v>
      </c>
      <c r="D24" s="171" t="s">
        <v>131</v>
      </c>
      <c r="E24" s="172" t="str">
        <f>A8</f>
        <v>ALFons</v>
      </c>
      <c r="F24" s="173" t="s">
        <v>14</v>
      </c>
      <c r="G24" s="105" t="str">
        <f>A10</f>
        <v>Himmelsstürmer</v>
      </c>
      <c r="H24" s="182"/>
      <c r="I24" s="173" t="s">
        <v>15</v>
      </c>
      <c r="J24" s="191"/>
    </row>
    <row r="25" spans="1:256" s="188" customFormat="1" ht="19.5" customHeight="1">
      <c r="A25" s="174">
        <f>A24</f>
        <v>0.4166666666666666</v>
      </c>
      <c r="B25" s="175">
        <v>12</v>
      </c>
      <c r="C25" s="176" t="s">
        <v>16</v>
      </c>
      <c r="D25" s="171" t="s">
        <v>132</v>
      </c>
      <c r="E25" s="177" t="str">
        <f>A9</f>
        <v>Mini Kenzingen</v>
      </c>
      <c r="F25" s="178" t="s">
        <v>14</v>
      </c>
      <c r="G25" s="179" t="str">
        <f>A11</f>
        <v>Minis Forst I</v>
      </c>
      <c r="H25" s="192"/>
      <c r="I25" s="178" t="s">
        <v>15</v>
      </c>
      <c r="J25" s="193"/>
      <c r="K25" s="147"/>
      <c r="L25" s="140"/>
      <c r="M25" s="170"/>
      <c r="N25" s="171"/>
      <c r="O25" s="172"/>
      <c r="P25" s="173"/>
      <c r="Q25" s="105"/>
      <c r="R25" s="182"/>
      <c r="S25" s="173"/>
      <c r="T25" s="183"/>
      <c r="U25" s="147"/>
      <c r="V25" s="140"/>
      <c r="W25" s="170"/>
      <c r="X25" s="171"/>
      <c r="Y25" s="172"/>
      <c r="Z25" s="173"/>
      <c r="AA25" s="105"/>
      <c r="AB25" s="182"/>
      <c r="AC25" s="173"/>
      <c r="AD25" s="183"/>
      <c r="AE25" s="147"/>
      <c r="AF25" s="140"/>
      <c r="AG25" s="170"/>
      <c r="AH25" s="171"/>
      <c r="AI25" s="172"/>
      <c r="AJ25" s="173"/>
      <c r="AK25" s="105"/>
      <c r="AL25" s="182"/>
      <c r="AM25" s="173"/>
      <c r="AN25" s="183"/>
      <c r="AO25" s="147"/>
      <c r="AP25" s="140"/>
      <c r="AQ25" s="170"/>
      <c r="AR25" s="171"/>
      <c r="AS25" s="172"/>
      <c r="AT25" s="173"/>
      <c r="AU25" s="105"/>
      <c r="AV25" s="182"/>
      <c r="AW25" s="173"/>
      <c r="AX25" s="183"/>
      <c r="AY25" s="147"/>
      <c r="AZ25" s="140"/>
      <c r="BA25" s="170"/>
      <c r="BB25" s="171"/>
      <c r="BC25" s="172"/>
      <c r="BD25" s="173"/>
      <c r="BE25" s="105"/>
      <c r="BF25" s="182"/>
      <c r="BG25" s="173"/>
      <c r="BH25" s="183"/>
      <c r="BI25" s="147"/>
      <c r="BJ25" s="140"/>
      <c r="BK25" s="170"/>
      <c r="BL25" s="171"/>
      <c r="BM25" s="172"/>
      <c r="BN25" s="173"/>
      <c r="BO25" s="105"/>
      <c r="BP25" s="182"/>
      <c r="BQ25" s="173"/>
      <c r="BR25" s="183"/>
      <c r="BS25" s="147"/>
      <c r="BT25" s="140"/>
      <c r="BU25" s="170"/>
      <c r="BV25" s="171"/>
      <c r="BW25" s="172"/>
      <c r="BX25" s="173"/>
      <c r="BY25" s="105"/>
      <c r="BZ25" s="182"/>
      <c r="CA25" s="173"/>
      <c r="CB25" s="183"/>
      <c r="CC25" s="147"/>
      <c r="CD25" s="140"/>
      <c r="CE25" s="170"/>
      <c r="CF25" s="171"/>
      <c r="CG25" s="172"/>
      <c r="CH25" s="173"/>
      <c r="CI25" s="105"/>
      <c r="CJ25" s="182"/>
      <c r="CK25" s="173"/>
      <c r="CL25" s="183"/>
      <c r="CM25" s="147"/>
      <c r="CN25" s="140"/>
      <c r="CO25" s="170"/>
      <c r="CP25" s="171"/>
      <c r="CQ25" s="172"/>
      <c r="CR25" s="173"/>
      <c r="CS25" s="105"/>
      <c r="CT25" s="182"/>
      <c r="CU25" s="173"/>
      <c r="CV25" s="183"/>
      <c r="CW25" s="147"/>
      <c r="CX25" s="140"/>
      <c r="CY25" s="170"/>
      <c r="CZ25" s="171"/>
      <c r="DA25" s="172"/>
      <c r="DB25" s="173"/>
      <c r="DC25" s="105"/>
      <c r="DD25" s="182"/>
      <c r="DE25" s="173"/>
      <c r="DF25" s="183"/>
      <c r="DG25" s="147"/>
      <c r="DH25" s="140"/>
      <c r="DI25" s="170"/>
      <c r="DJ25" s="171"/>
      <c r="DK25" s="172"/>
      <c r="DL25" s="173"/>
      <c r="DM25" s="105"/>
      <c r="DN25" s="182"/>
      <c r="DO25" s="173"/>
      <c r="DP25" s="183"/>
      <c r="DQ25" s="147"/>
      <c r="DR25" s="140"/>
      <c r="DS25" s="170"/>
      <c r="DT25" s="171"/>
      <c r="DU25" s="172"/>
      <c r="DV25" s="173"/>
      <c r="DW25" s="105"/>
      <c r="DX25" s="182"/>
      <c r="DY25" s="173"/>
      <c r="DZ25" s="183"/>
      <c r="EA25" s="147"/>
      <c r="EB25" s="140"/>
      <c r="EC25" s="170"/>
      <c r="ED25" s="171"/>
      <c r="EE25" s="172"/>
      <c r="EF25" s="173"/>
      <c r="EG25" s="105"/>
      <c r="EH25" s="182"/>
      <c r="EI25" s="173"/>
      <c r="EJ25" s="183"/>
      <c r="EK25" s="147"/>
      <c r="EL25" s="140"/>
      <c r="EM25" s="170"/>
      <c r="EN25" s="171"/>
      <c r="EO25" s="172"/>
      <c r="EP25" s="173"/>
      <c r="EQ25" s="105"/>
      <c r="ER25" s="182"/>
      <c r="ES25" s="173"/>
      <c r="ET25" s="183"/>
      <c r="EU25" s="147"/>
      <c r="EV25" s="140"/>
      <c r="EW25" s="170"/>
      <c r="EX25" s="171"/>
      <c r="EY25" s="172"/>
      <c r="EZ25" s="173"/>
      <c r="FA25" s="105"/>
      <c r="FB25" s="182"/>
      <c r="FC25" s="173"/>
      <c r="FD25" s="183"/>
      <c r="FE25" s="147"/>
      <c r="FF25" s="140"/>
      <c r="FG25" s="170"/>
      <c r="FH25" s="171"/>
      <c r="FI25" s="172"/>
      <c r="FJ25" s="173"/>
      <c r="FK25" s="105"/>
      <c r="FL25" s="182"/>
      <c r="FM25" s="173"/>
      <c r="FN25" s="183"/>
      <c r="FO25" s="147"/>
      <c r="FP25" s="140"/>
      <c r="FQ25" s="170"/>
      <c r="FR25" s="171"/>
      <c r="FS25" s="172"/>
      <c r="FT25" s="173"/>
      <c r="FU25" s="105"/>
      <c r="FV25" s="182"/>
      <c r="FW25" s="173"/>
      <c r="FX25" s="183"/>
      <c r="FY25" s="147"/>
      <c r="FZ25" s="140"/>
      <c r="GA25" s="170"/>
      <c r="GB25" s="171"/>
      <c r="GC25" s="172"/>
      <c r="GD25" s="173"/>
      <c r="GE25" s="105"/>
      <c r="GF25" s="182"/>
      <c r="GG25" s="173"/>
      <c r="GH25" s="183"/>
      <c r="GI25" s="147"/>
      <c r="GJ25" s="140"/>
      <c r="GK25" s="170"/>
      <c r="GL25" s="171"/>
      <c r="GM25" s="172"/>
      <c r="GN25" s="173"/>
      <c r="GO25" s="105"/>
      <c r="GP25" s="182"/>
      <c r="GQ25" s="173"/>
      <c r="GR25" s="183"/>
      <c r="GS25" s="147"/>
      <c r="GT25" s="140"/>
      <c r="GU25" s="170"/>
      <c r="GV25" s="171"/>
      <c r="GW25" s="172"/>
      <c r="GX25" s="173"/>
      <c r="GY25" s="105"/>
      <c r="GZ25" s="182"/>
      <c r="HA25" s="173"/>
      <c r="HB25" s="183"/>
      <c r="HC25" s="147"/>
      <c r="HD25" s="140"/>
      <c r="HE25" s="170"/>
      <c r="HF25" s="171"/>
      <c r="HG25" s="172"/>
      <c r="HH25" s="173"/>
      <c r="HI25" s="105"/>
      <c r="HJ25" s="182"/>
      <c r="HK25" s="173"/>
      <c r="HL25" s="183"/>
      <c r="HM25" s="147"/>
      <c r="HN25" s="140"/>
      <c r="HO25" s="170"/>
      <c r="HP25" s="171"/>
      <c r="HQ25" s="172"/>
      <c r="HR25" s="173"/>
      <c r="HS25" s="105"/>
      <c r="HT25" s="182"/>
      <c r="HU25" s="173"/>
      <c r="HV25" s="183"/>
      <c r="HW25" s="147"/>
      <c r="HX25" s="140"/>
      <c r="HY25" s="170"/>
      <c r="HZ25" s="171"/>
      <c r="IA25" s="172"/>
      <c r="IB25" s="173"/>
      <c r="IC25" s="105"/>
      <c r="ID25" s="182"/>
      <c r="IE25" s="173"/>
      <c r="IF25" s="183"/>
      <c r="IG25" s="147"/>
      <c r="IH25" s="140"/>
      <c r="II25" s="170"/>
      <c r="IJ25" s="171"/>
      <c r="IK25" s="172"/>
      <c r="IL25" s="173"/>
      <c r="IM25" s="105"/>
      <c r="IN25" s="182"/>
      <c r="IO25" s="173"/>
      <c r="IP25" s="183"/>
      <c r="IQ25" s="147"/>
      <c r="IR25" s="140"/>
      <c r="IS25" s="170"/>
      <c r="IT25" s="171"/>
      <c r="IU25" s="172"/>
      <c r="IV25" s="173"/>
    </row>
    <row r="26" spans="1:10" s="188" customFormat="1" ht="19.5" customHeight="1">
      <c r="A26" s="162">
        <f>A24+Vorgaben!$D$3+Vorgaben!$D$5</f>
        <v>0.423611111111111</v>
      </c>
      <c r="B26" s="163">
        <v>13</v>
      </c>
      <c r="C26" s="164" t="s">
        <v>17</v>
      </c>
      <c r="D26" s="165" t="s">
        <v>130</v>
      </c>
      <c r="E26" s="166" t="str">
        <f>G2</f>
        <v>KJG Walldorf</v>
      </c>
      <c r="F26" s="167" t="s">
        <v>14</v>
      </c>
      <c r="G26" s="168" t="str">
        <f>G4</f>
        <v>Minis Rot</v>
      </c>
      <c r="H26" s="189"/>
      <c r="I26" s="167" t="s">
        <v>15</v>
      </c>
      <c r="J26" s="190"/>
    </row>
    <row r="27" spans="1:10" s="188" customFormat="1" ht="19.5" customHeight="1">
      <c r="A27" s="169">
        <f>A26</f>
        <v>0.423611111111111</v>
      </c>
      <c r="B27" s="140">
        <v>14</v>
      </c>
      <c r="C27" s="170" t="s">
        <v>17</v>
      </c>
      <c r="D27" s="171" t="s">
        <v>131</v>
      </c>
      <c r="E27" s="172" t="str">
        <f>G3</f>
        <v>Hl. Kreuz</v>
      </c>
      <c r="F27" s="173" t="s">
        <v>14</v>
      </c>
      <c r="G27" s="105" t="str">
        <f>G5</f>
        <v>Die Bierbauchkicker</v>
      </c>
      <c r="H27" s="182"/>
      <c r="I27" s="173" t="s">
        <v>15</v>
      </c>
      <c r="J27" s="191"/>
    </row>
    <row r="28" spans="1:256" s="188" customFormat="1" ht="19.5" customHeight="1">
      <c r="A28" s="174">
        <f>A27</f>
        <v>0.423611111111111</v>
      </c>
      <c r="B28" s="175">
        <v>15</v>
      </c>
      <c r="C28" s="176" t="s">
        <v>18</v>
      </c>
      <c r="D28" s="171" t="s">
        <v>132</v>
      </c>
      <c r="E28" s="177" t="str">
        <f>G8</f>
        <v>Minis Mühlhausen/Rettigheim</v>
      </c>
      <c r="F28" s="178" t="s">
        <v>14</v>
      </c>
      <c r="G28" s="179" t="str">
        <f>G10</f>
        <v>Letzenbergkicker</v>
      </c>
      <c r="H28" s="192"/>
      <c r="I28" s="178" t="s">
        <v>15</v>
      </c>
      <c r="J28" s="193"/>
      <c r="K28" s="147"/>
      <c r="L28" s="140"/>
      <c r="M28" s="170"/>
      <c r="N28" s="171"/>
      <c r="O28" s="172"/>
      <c r="P28" s="173"/>
      <c r="Q28" s="105"/>
      <c r="R28" s="182"/>
      <c r="S28" s="173"/>
      <c r="T28" s="183"/>
      <c r="U28" s="147"/>
      <c r="V28" s="140"/>
      <c r="W28" s="170"/>
      <c r="X28" s="171"/>
      <c r="Y28" s="172"/>
      <c r="Z28" s="173"/>
      <c r="AA28" s="105"/>
      <c r="AB28" s="182"/>
      <c r="AC28" s="173"/>
      <c r="AD28" s="183"/>
      <c r="AE28" s="147"/>
      <c r="AF28" s="140"/>
      <c r="AG28" s="170"/>
      <c r="AH28" s="171"/>
      <c r="AI28" s="172"/>
      <c r="AJ28" s="173"/>
      <c r="AK28" s="105"/>
      <c r="AL28" s="182"/>
      <c r="AM28" s="173"/>
      <c r="AN28" s="183"/>
      <c r="AO28" s="147"/>
      <c r="AP28" s="140"/>
      <c r="AQ28" s="170"/>
      <c r="AR28" s="171"/>
      <c r="AS28" s="172"/>
      <c r="AT28" s="173"/>
      <c r="AU28" s="105"/>
      <c r="AV28" s="182"/>
      <c r="AW28" s="173"/>
      <c r="AX28" s="183"/>
      <c r="AY28" s="147"/>
      <c r="AZ28" s="140"/>
      <c r="BA28" s="170"/>
      <c r="BB28" s="171"/>
      <c r="BC28" s="172"/>
      <c r="BD28" s="173"/>
      <c r="BE28" s="105"/>
      <c r="BF28" s="182"/>
      <c r="BG28" s="173"/>
      <c r="BH28" s="183"/>
      <c r="BI28" s="147"/>
      <c r="BJ28" s="140"/>
      <c r="BK28" s="170"/>
      <c r="BL28" s="171"/>
      <c r="BM28" s="172"/>
      <c r="BN28" s="173"/>
      <c r="BO28" s="105"/>
      <c r="BP28" s="182"/>
      <c r="BQ28" s="173"/>
      <c r="BR28" s="183"/>
      <c r="BS28" s="147"/>
      <c r="BT28" s="140"/>
      <c r="BU28" s="170"/>
      <c r="BV28" s="171"/>
      <c r="BW28" s="172"/>
      <c r="BX28" s="173"/>
      <c r="BY28" s="105"/>
      <c r="BZ28" s="182"/>
      <c r="CA28" s="173"/>
      <c r="CB28" s="183"/>
      <c r="CC28" s="147"/>
      <c r="CD28" s="140"/>
      <c r="CE28" s="170"/>
      <c r="CF28" s="171"/>
      <c r="CG28" s="172"/>
      <c r="CH28" s="173"/>
      <c r="CI28" s="105"/>
      <c r="CJ28" s="182"/>
      <c r="CK28" s="173"/>
      <c r="CL28" s="183"/>
      <c r="CM28" s="147"/>
      <c r="CN28" s="140"/>
      <c r="CO28" s="170"/>
      <c r="CP28" s="171"/>
      <c r="CQ28" s="172"/>
      <c r="CR28" s="173"/>
      <c r="CS28" s="105"/>
      <c r="CT28" s="182"/>
      <c r="CU28" s="173"/>
      <c r="CV28" s="183"/>
      <c r="CW28" s="147"/>
      <c r="CX28" s="140"/>
      <c r="CY28" s="170"/>
      <c r="CZ28" s="171"/>
      <c r="DA28" s="172"/>
      <c r="DB28" s="173"/>
      <c r="DC28" s="105"/>
      <c r="DD28" s="182"/>
      <c r="DE28" s="173"/>
      <c r="DF28" s="183"/>
      <c r="DG28" s="147"/>
      <c r="DH28" s="140"/>
      <c r="DI28" s="170"/>
      <c r="DJ28" s="171"/>
      <c r="DK28" s="172"/>
      <c r="DL28" s="173"/>
      <c r="DM28" s="105"/>
      <c r="DN28" s="182"/>
      <c r="DO28" s="173"/>
      <c r="DP28" s="183"/>
      <c r="DQ28" s="147"/>
      <c r="DR28" s="140"/>
      <c r="DS28" s="170"/>
      <c r="DT28" s="171"/>
      <c r="DU28" s="172"/>
      <c r="DV28" s="173"/>
      <c r="DW28" s="105"/>
      <c r="DX28" s="182"/>
      <c r="DY28" s="173"/>
      <c r="DZ28" s="183"/>
      <c r="EA28" s="147"/>
      <c r="EB28" s="140"/>
      <c r="EC28" s="170"/>
      <c r="ED28" s="171"/>
      <c r="EE28" s="172"/>
      <c r="EF28" s="173"/>
      <c r="EG28" s="105"/>
      <c r="EH28" s="182"/>
      <c r="EI28" s="173"/>
      <c r="EJ28" s="183"/>
      <c r="EK28" s="147"/>
      <c r="EL28" s="140"/>
      <c r="EM28" s="170"/>
      <c r="EN28" s="171"/>
      <c r="EO28" s="172"/>
      <c r="EP28" s="173"/>
      <c r="EQ28" s="105"/>
      <c r="ER28" s="182"/>
      <c r="ES28" s="173"/>
      <c r="ET28" s="183"/>
      <c r="EU28" s="147"/>
      <c r="EV28" s="140"/>
      <c r="EW28" s="170"/>
      <c r="EX28" s="171"/>
      <c r="EY28" s="172"/>
      <c r="EZ28" s="173"/>
      <c r="FA28" s="105"/>
      <c r="FB28" s="182"/>
      <c r="FC28" s="173"/>
      <c r="FD28" s="183"/>
      <c r="FE28" s="147"/>
      <c r="FF28" s="140"/>
      <c r="FG28" s="170"/>
      <c r="FH28" s="171"/>
      <c r="FI28" s="172"/>
      <c r="FJ28" s="173"/>
      <c r="FK28" s="105"/>
      <c r="FL28" s="182"/>
      <c r="FM28" s="173"/>
      <c r="FN28" s="183"/>
      <c r="FO28" s="147"/>
      <c r="FP28" s="140"/>
      <c r="FQ28" s="170"/>
      <c r="FR28" s="171"/>
      <c r="FS28" s="172"/>
      <c r="FT28" s="173"/>
      <c r="FU28" s="105"/>
      <c r="FV28" s="182"/>
      <c r="FW28" s="173"/>
      <c r="FX28" s="183"/>
      <c r="FY28" s="147"/>
      <c r="FZ28" s="140"/>
      <c r="GA28" s="170"/>
      <c r="GB28" s="171"/>
      <c r="GC28" s="172"/>
      <c r="GD28" s="173"/>
      <c r="GE28" s="105"/>
      <c r="GF28" s="182"/>
      <c r="GG28" s="173"/>
      <c r="GH28" s="183"/>
      <c r="GI28" s="147"/>
      <c r="GJ28" s="140"/>
      <c r="GK28" s="170"/>
      <c r="GL28" s="171"/>
      <c r="GM28" s="172"/>
      <c r="GN28" s="173"/>
      <c r="GO28" s="105"/>
      <c r="GP28" s="182"/>
      <c r="GQ28" s="173"/>
      <c r="GR28" s="183"/>
      <c r="GS28" s="147"/>
      <c r="GT28" s="140"/>
      <c r="GU28" s="170"/>
      <c r="GV28" s="171"/>
      <c r="GW28" s="172"/>
      <c r="GX28" s="173"/>
      <c r="GY28" s="105"/>
      <c r="GZ28" s="182"/>
      <c r="HA28" s="173"/>
      <c r="HB28" s="183"/>
      <c r="HC28" s="147"/>
      <c r="HD28" s="140"/>
      <c r="HE28" s="170"/>
      <c r="HF28" s="171"/>
      <c r="HG28" s="172"/>
      <c r="HH28" s="173"/>
      <c r="HI28" s="105"/>
      <c r="HJ28" s="182"/>
      <c r="HK28" s="173"/>
      <c r="HL28" s="183"/>
      <c r="HM28" s="147"/>
      <c r="HN28" s="140"/>
      <c r="HO28" s="170"/>
      <c r="HP28" s="171"/>
      <c r="HQ28" s="172"/>
      <c r="HR28" s="173"/>
      <c r="HS28" s="105"/>
      <c r="HT28" s="182"/>
      <c r="HU28" s="173"/>
      <c r="HV28" s="183"/>
      <c r="HW28" s="147"/>
      <c r="HX28" s="140"/>
      <c r="HY28" s="170"/>
      <c r="HZ28" s="171"/>
      <c r="IA28" s="172"/>
      <c r="IB28" s="173"/>
      <c r="IC28" s="105"/>
      <c r="ID28" s="182"/>
      <c r="IE28" s="173"/>
      <c r="IF28" s="183"/>
      <c r="IG28" s="147"/>
      <c r="IH28" s="140"/>
      <c r="II28" s="170"/>
      <c r="IJ28" s="171"/>
      <c r="IK28" s="172"/>
      <c r="IL28" s="173"/>
      <c r="IM28" s="105"/>
      <c r="IN28" s="182"/>
      <c r="IO28" s="173"/>
      <c r="IP28" s="183"/>
      <c r="IQ28" s="147"/>
      <c r="IR28" s="140"/>
      <c r="IS28" s="170"/>
      <c r="IT28" s="171"/>
      <c r="IU28" s="172"/>
      <c r="IV28" s="173"/>
    </row>
    <row r="29" spans="1:10" s="188" customFormat="1" ht="19.5" customHeight="1">
      <c r="A29" s="162">
        <f>A27+Vorgaben!$D$3+Vorgaben!$D$5</f>
        <v>0.4305555555555554</v>
      </c>
      <c r="B29" s="163">
        <v>16</v>
      </c>
      <c r="C29" s="164" t="s">
        <v>18</v>
      </c>
      <c r="D29" s="165" t="s">
        <v>130</v>
      </c>
      <c r="E29" s="166" t="str">
        <f>G9</f>
        <v>Bolzplatzkickers</v>
      </c>
      <c r="F29" s="167" t="s">
        <v>14</v>
      </c>
      <c r="G29" s="168" t="str">
        <f>G11</f>
        <v>ALFons Allstars</v>
      </c>
      <c r="H29" s="189"/>
      <c r="I29" s="167" t="s">
        <v>15</v>
      </c>
      <c r="J29" s="190"/>
    </row>
    <row r="30" spans="1:10" s="188" customFormat="1" ht="19.5" customHeight="1">
      <c r="A30" s="169">
        <f>A29</f>
        <v>0.4305555555555554</v>
      </c>
      <c r="B30" s="140">
        <v>17</v>
      </c>
      <c r="C30" s="170" t="s">
        <v>13</v>
      </c>
      <c r="D30" s="171" t="s">
        <v>131</v>
      </c>
      <c r="E30" s="172" t="str">
        <f>A5</f>
        <v>Natural Born Kickers</v>
      </c>
      <c r="F30" s="173" t="s">
        <v>14</v>
      </c>
      <c r="G30" s="105" t="str">
        <f>A2</f>
        <v>KJG Burner</v>
      </c>
      <c r="H30" s="182"/>
      <c r="I30" s="173" t="s">
        <v>15</v>
      </c>
      <c r="J30" s="191"/>
    </row>
    <row r="31" spans="1:256" s="188" customFormat="1" ht="19.5" customHeight="1">
      <c r="A31" s="174">
        <f>A30</f>
        <v>0.4305555555555554</v>
      </c>
      <c r="B31" s="175">
        <v>18</v>
      </c>
      <c r="C31" s="176" t="s">
        <v>13</v>
      </c>
      <c r="D31" s="171" t="s">
        <v>132</v>
      </c>
      <c r="E31" s="177" t="str">
        <f>A4</f>
        <v>Minis Forst II</v>
      </c>
      <c r="F31" s="178" t="s">
        <v>14</v>
      </c>
      <c r="G31" s="179" t="str">
        <f>A3</f>
        <v>KJG Wiesloch</v>
      </c>
      <c r="H31" s="192"/>
      <c r="I31" s="178" t="s">
        <v>15</v>
      </c>
      <c r="J31" s="193"/>
      <c r="K31" s="147"/>
      <c r="L31" s="140"/>
      <c r="M31" s="170"/>
      <c r="N31" s="171"/>
      <c r="O31" s="172"/>
      <c r="P31" s="173"/>
      <c r="Q31" s="105"/>
      <c r="R31" s="182"/>
      <c r="S31" s="173"/>
      <c r="T31" s="183"/>
      <c r="U31" s="147"/>
      <c r="V31" s="140"/>
      <c r="W31" s="170"/>
      <c r="X31" s="171"/>
      <c r="Y31" s="172"/>
      <c r="Z31" s="173"/>
      <c r="AA31" s="105"/>
      <c r="AB31" s="182"/>
      <c r="AC31" s="173"/>
      <c r="AD31" s="183"/>
      <c r="AE31" s="147"/>
      <c r="AF31" s="140"/>
      <c r="AG31" s="170"/>
      <c r="AH31" s="171"/>
      <c r="AI31" s="172"/>
      <c r="AJ31" s="173"/>
      <c r="AK31" s="105"/>
      <c r="AL31" s="182"/>
      <c r="AM31" s="173"/>
      <c r="AN31" s="183"/>
      <c r="AO31" s="147"/>
      <c r="AP31" s="140"/>
      <c r="AQ31" s="170"/>
      <c r="AR31" s="171"/>
      <c r="AS31" s="172"/>
      <c r="AT31" s="173"/>
      <c r="AU31" s="105"/>
      <c r="AV31" s="182"/>
      <c r="AW31" s="173"/>
      <c r="AX31" s="183"/>
      <c r="AY31" s="147"/>
      <c r="AZ31" s="140"/>
      <c r="BA31" s="170"/>
      <c r="BB31" s="171"/>
      <c r="BC31" s="172"/>
      <c r="BD31" s="173"/>
      <c r="BE31" s="105"/>
      <c r="BF31" s="182"/>
      <c r="BG31" s="173"/>
      <c r="BH31" s="183"/>
      <c r="BI31" s="147"/>
      <c r="BJ31" s="140"/>
      <c r="BK31" s="170"/>
      <c r="BL31" s="171"/>
      <c r="BM31" s="172"/>
      <c r="BN31" s="173"/>
      <c r="BO31" s="105"/>
      <c r="BP31" s="182"/>
      <c r="BQ31" s="173"/>
      <c r="BR31" s="183"/>
      <c r="BS31" s="147"/>
      <c r="BT31" s="140"/>
      <c r="BU31" s="170"/>
      <c r="BV31" s="171"/>
      <c r="BW31" s="172"/>
      <c r="BX31" s="173"/>
      <c r="BY31" s="105"/>
      <c r="BZ31" s="182"/>
      <c r="CA31" s="173"/>
      <c r="CB31" s="183"/>
      <c r="CC31" s="147"/>
      <c r="CD31" s="140"/>
      <c r="CE31" s="170"/>
      <c r="CF31" s="171"/>
      <c r="CG31" s="172"/>
      <c r="CH31" s="173"/>
      <c r="CI31" s="105"/>
      <c r="CJ31" s="182"/>
      <c r="CK31" s="173"/>
      <c r="CL31" s="183"/>
      <c r="CM31" s="147"/>
      <c r="CN31" s="140"/>
      <c r="CO31" s="170"/>
      <c r="CP31" s="171"/>
      <c r="CQ31" s="172"/>
      <c r="CR31" s="173"/>
      <c r="CS31" s="105"/>
      <c r="CT31" s="182"/>
      <c r="CU31" s="173"/>
      <c r="CV31" s="183"/>
      <c r="CW31" s="147"/>
      <c r="CX31" s="140"/>
      <c r="CY31" s="170"/>
      <c r="CZ31" s="171"/>
      <c r="DA31" s="172"/>
      <c r="DB31" s="173"/>
      <c r="DC31" s="105"/>
      <c r="DD31" s="182"/>
      <c r="DE31" s="173"/>
      <c r="DF31" s="183"/>
      <c r="DG31" s="147"/>
      <c r="DH31" s="140"/>
      <c r="DI31" s="170"/>
      <c r="DJ31" s="171"/>
      <c r="DK31" s="172"/>
      <c r="DL31" s="173"/>
      <c r="DM31" s="105"/>
      <c r="DN31" s="182"/>
      <c r="DO31" s="173"/>
      <c r="DP31" s="183"/>
      <c r="DQ31" s="147"/>
      <c r="DR31" s="140"/>
      <c r="DS31" s="170"/>
      <c r="DT31" s="171"/>
      <c r="DU31" s="172"/>
      <c r="DV31" s="173"/>
      <c r="DW31" s="105"/>
      <c r="DX31" s="182"/>
      <c r="DY31" s="173"/>
      <c r="DZ31" s="183"/>
      <c r="EA31" s="147"/>
      <c r="EB31" s="140"/>
      <c r="EC31" s="170"/>
      <c r="ED31" s="171"/>
      <c r="EE31" s="172"/>
      <c r="EF31" s="173"/>
      <c r="EG31" s="105"/>
      <c r="EH31" s="182"/>
      <c r="EI31" s="173"/>
      <c r="EJ31" s="183"/>
      <c r="EK31" s="147"/>
      <c r="EL31" s="140"/>
      <c r="EM31" s="170"/>
      <c r="EN31" s="171"/>
      <c r="EO31" s="172"/>
      <c r="EP31" s="173"/>
      <c r="EQ31" s="105"/>
      <c r="ER31" s="182"/>
      <c r="ES31" s="173"/>
      <c r="ET31" s="183"/>
      <c r="EU31" s="147"/>
      <c r="EV31" s="140"/>
      <c r="EW31" s="170"/>
      <c r="EX31" s="171"/>
      <c r="EY31" s="172"/>
      <c r="EZ31" s="173"/>
      <c r="FA31" s="105"/>
      <c r="FB31" s="182"/>
      <c r="FC31" s="173"/>
      <c r="FD31" s="183"/>
      <c r="FE31" s="147"/>
      <c r="FF31" s="140"/>
      <c r="FG31" s="170"/>
      <c r="FH31" s="171"/>
      <c r="FI31" s="172"/>
      <c r="FJ31" s="173"/>
      <c r="FK31" s="105"/>
      <c r="FL31" s="182"/>
      <c r="FM31" s="173"/>
      <c r="FN31" s="183"/>
      <c r="FO31" s="147"/>
      <c r="FP31" s="140"/>
      <c r="FQ31" s="170"/>
      <c r="FR31" s="171"/>
      <c r="FS31" s="172"/>
      <c r="FT31" s="173"/>
      <c r="FU31" s="105"/>
      <c r="FV31" s="182"/>
      <c r="FW31" s="173"/>
      <c r="FX31" s="183"/>
      <c r="FY31" s="147"/>
      <c r="FZ31" s="140"/>
      <c r="GA31" s="170"/>
      <c r="GB31" s="171"/>
      <c r="GC31" s="172"/>
      <c r="GD31" s="173"/>
      <c r="GE31" s="105"/>
      <c r="GF31" s="182"/>
      <c r="GG31" s="173"/>
      <c r="GH31" s="183"/>
      <c r="GI31" s="147"/>
      <c r="GJ31" s="140"/>
      <c r="GK31" s="170"/>
      <c r="GL31" s="171"/>
      <c r="GM31" s="172"/>
      <c r="GN31" s="173"/>
      <c r="GO31" s="105"/>
      <c r="GP31" s="182"/>
      <c r="GQ31" s="173"/>
      <c r="GR31" s="183"/>
      <c r="GS31" s="147"/>
      <c r="GT31" s="140"/>
      <c r="GU31" s="170"/>
      <c r="GV31" s="171"/>
      <c r="GW31" s="172"/>
      <c r="GX31" s="173"/>
      <c r="GY31" s="105"/>
      <c r="GZ31" s="182"/>
      <c r="HA31" s="173"/>
      <c r="HB31" s="183"/>
      <c r="HC31" s="147"/>
      <c r="HD31" s="140"/>
      <c r="HE31" s="170"/>
      <c r="HF31" s="171"/>
      <c r="HG31" s="172"/>
      <c r="HH31" s="173"/>
      <c r="HI31" s="105"/>
      <c r="HJ31" s="182"/>
      <c r="HK31" s="173"/>
      <c r="HL31" s="183"/>
      <c r="HM31" s="147"/>
      <c r="HN31" s="140"/>
      <c r="HO31" s="170"/>
      <c r="HP31" s="171"/>
      <c r="HQ31" s="172"/>
      <c r="HR31" s="173"/>
      <c r="HS31" s="105"/>
      <c r="HT31" s="182"/>
      <c r="HU31" s="173"/>
      <c r="HV31" s="183"/>
      <c r="HW31" s="147"/>
      <c r="HX31" s="140"/>
      <c r="HY31" s="170"/>
      <c r="HZ31" s="171"/>
      <c r="IA31" s="172"/>
      <c r="IB31" s="173"/>
      <c r="IC31" s="105"/>
      <c r="ID31" s="182"/>
      <c r="IE31" s="173"/>
      <c r="IF31" s="183"/>
      <c r="IG31" s="147"/>
      <c r="IH31" s="140"/>
      <c r="II31" s="170"/>
      <c r="IJ31" s="171"/>
      <c r="IK31" s="172"/>
      <c r="IL31" s="173"/>
      <c r="IM31" s="105"/>
      <c r="IN31" s="182"/>
      <c r="IO31" s="173"/>
      <c r="IP31" s="183"/>
      <c r="IQ31" s="147"/>
      <c r="IR31" s="140"/>
      <c r="IS31" s="170"/>
      <c r="IT31" s="171"/>
      <c r="IU31" s="172"/>
      <c r="IV31" s="173"/>
    </row>
    <row r="32" spans="1:10" s="188" customFormat="1" ht="19.5" customHeight="1">
      <c r="A32" s="162">
        <f>A30+Vorgaben!$D$3+Vorgaben!$D$5</f>
        <v>0.43749999999999983</v>
      </c>
      <c r="B32" s="163">
        <v>19</v>
      </c>
      <c r="C32" s="164" t="s">
        <v>16</v>
      </c>
      <c r="D32" s="165" t="s">
        <v>130</v>
      </c>
      <c r="E32" s="166" t="str">
        <f>A11</f>
        <v>Minis Forst I</v>
      </c>
      <c r="F32" s="167" t="s">
        <v>14</v>
      </c>
      <c r="G32" s="168" t="str">
        <f>A8</f>
        <v>ALFons</v>
      </c>
      <c r="H32" s="189"/>
      <c r="I32" s="167" t="s">
        <v>15</v>
      </c>
      <c r="J32" s="190"/>
    </row>
    <row r="33" spans="1:10" s="188" customFormat="1" ht="19.5" customHeight="1">
      <c r="A33" s="169">
        <f>A32</f>
        <v>0.43749999999999983</v>
      </c>
      <c r="B33" s="140">
        <v>20</v>
      </c>
      <c r="C33" s="170" t="s">
        <v>16</v>
      </c>
      <c r="D33" s="171" t="s">
        <v>131</v>
      </c>
      <c r="E33" s="172" t="str">
        <f>A10</f>
        <v>Himmelsstürmer</v>
      </c>
      <c r="F33" s="173" t="s">
        <v>14</v>
      </c>
      <c r="G33" s="105" t="str">
        <f>A9</f>
        <v>Mini Kenzingen</v>
      </c>
      <c r="H33" s="182"/>
      <c r="I33" s="173" t="s">
        <v>15</v>
      </c>
      <c r="J33" s="191"/>
    </row>
    <row r="34" spans="1:256" s="188" customFormat="1" ht="19.5" customHeight="1">
      <c r="A34" s="174">
        <f>A33</f>
        <v>0.43749999999999983</v>
      </c>
      <c r="B34" s="175">
        <v>21</v>
      </c>
      <c r="C34" s="176" t="s">
        <v>17</v>
      </c>
      <c r="D34" s="171" t="s">
        <v>132</v>
      </c>
      <c r="E34" s="177" t="str">
        <f>G5</f>
        <v>Die Bierbauchkicker</v>
      </c>
      <c r="F34" s="178" t="s">
        <v>14</v>
      </c>
      <c r="G34" s="179" t="str">
        <f>G2</f>
        <v>KJG Walldorf</v>
      </c>
      <c r="H34" s="192"/>
      <c r="I34" s="178" t="s">
        <v>15</v>
      </c>
      <c r="J34" s="193"/>
      <c r="K34" s="147"/>
      <c r="L34" s="140"/>
      <c r="M34" s="170"/>
      <c r="N34" s="171"/>
      <c r="O34" s="172"/>
      <c r="P34" s="173"/>
      <c r="Q34" s="105"/>
      <c r="R34" s="182"/>
      <c r="S34" s="173"/>
      <c r="T34" s="183"/>
      <c r="U34" s="147"/>
      <c r="V34" s="140"/>
      <c r="W34" s="170"/>
      <c r="X34" s="171"/>
      <c r="Y34" s="172"/>
      <c r="Z34" s="173"/>
      <c r="AA34" s="105"/>
      <c r="AB34" s="182"/>
      <c r="AC34" s="173"/>
      <c r="AD34" s="183"/>
      <c r="AE34" s="147"/>
      <c r="AF34" s="140"/>
      <c r="AG34" s="170"/>
      <c r="AH34" s="171"/>
      <c r="AI34" s="172"/>
      <c r="AJ34" s="173"/>
      <c r="AK34" s="105"/>
      <c r="AL34" s="182"/>
      <c r="AM34" s="173"/>
      <c r="AN34" s="183"/>
      <c r="AO34" s="147"/>
      <c r="AP34" s="140"/>
      <c r="AQ34" s="170"/>
      <c r="AR34" s="171"/>
      <c r="AS34" s="172"/>
      <c r="AT34" s="173"/>
      <c r="AU34" s="105"/>
      <c r="AV34" s="182"/>
      <c r="AW34" s="173"/>
      <c r="AX34" s="183"/>
      <c r="AY34" s="147"/>
      <c r="AZ34" s="140"/>
      <c r="BA34" s="170"/>
      <c r="BB34" s="171"/>
      <c r="BC34" s="172"/>
      <c r="BD34" s="173"/>
      <c r="BE34" s="105"/>
      <c r="BF34" s="182"/>
      <c r="BG34" s="173"/>
      <c r="BH34" s="183"/>
      <c r="BI34" s="147"/>
      <c r="BJ34" s="140"/>
      <c r="BK34" s="170"/>
      <c r="BL34" s="171"/>
      <c r="BM34" s="172"/>
      <c r="BN34" s="173"/>
      <c r="BO34" s="105"/>
      <c r="BP34" s="182"/>
      <c r="BQ34" s="173"/>
      <c r="BR34" s="183"/>
      <c r="BS34" s="147"/>
      <c r="BT34" s="140"/>
      <c r="BU34" s="170"/>
      <c r="BV34" s="171"/>
      <c r="BW34" s="172"/>
      <c r="BX34" s="173"/>
      <c r="BY34" s="105"/>
      <c r="BZ34" s="182"/>
      <c r="CA34" s="173"/>
      <c r="CB34" s="183"/>
      <c r="CC34" s="147"/>
      <c r="CD34" s="140"/>
      <c r="CE34" s="170"/>
      <c r="CF34" s="171"/>
      <c r="CG34" s="172"/>
      <c r="CH34" s="173"/>
      <c r="CI34" s="105"/>
      <c r="CJ34" s="182"/>
      <c r="CK34" s="173"/>
      <c r="CL34" s="183"/>
      <c r="CM34" s="147"/>
      <c r="CN34" s="140"/>
      <c r="CO34" s="170"/>
      <c r="CP34" s="171"/>
      <c r="CQ34" s="172"/>
      <c r="CR34" s="173"/>
      <c r="CS34" s="105"/>
      <c r="CT34" s="182"/>
      <c r="CU34" s="173"/>
      <c r="CV34" s="183"/>
      <c r="CW34" s="147"/>
      <c r="CX34" s="140"/>
      <c r="CY34" s="170"/>
      <c r="CZ34" s="171"/>
      <c r="DA34" s="172"/>
      <c r="DB34" s="173"/>
      <c r="DC34" s="105"/>
      <c r="DD34" s="182"/>
      <c r="DE34" s="173"/>
      <c r="DF34" s="183"/>
      <c r="DG34" s="147"/>
      <c r="DH34" s="140"/>
      <c r="DI34" s="170"/>
      <c r="DJ34" s="171"/>
      <c r="DK34" s="172"/>
      <c r="DL34" s="173"/>
      <c r="DM34" s="105"/>
      <c r="DN34" s="182"/>
      <c r="DO34" s="173"/>
      <c r="DP34" s="183"/>
      <c r="DQ34" s="147"/>
      <c r="DR34" s="140"/>
      <c r="DS34" s="170"/>
      <c r="DT34" s="171"/>
      <c r="DU34" s="172"/>
      <c r="DV34" s="173"/>
      <c r="DW34" s="105"/>
      <c r="DX34" s="182"/>
      <c r="DY34" s="173"/>
      <c r="DZ34" s="183"/>
      <c r="EA34" s="147"/>
      <c r="EB34" s="140"/>
      <c r="EC34" s="170"/>
      <c r="ED34" s="171"/>
      <c r="EE34" s="172"/>
      <c r="EF34" s="173"/>
      <c r="EG34" s="105"/>
      <c r="EH34" s="182"/>
      <c r="EI34" s="173"/>
      <c r="EJ34" s="183"/>
      <c r="EK34" s="147"/>
      <c r="EL34" s="140"/>
      <c r="EM34" s="170"/>
      <c r="EN34" s="171"/>
      <c r="EO34" s="172"/>
      <c r="EP34" s="173"/>
      <c r="EQ34" s="105"/>
      <c r="ER34" s="182"/>
      <c r="ES34" s="173"/>
      <c r="ET34" s="183"/>
      <c r="EU34" s="147"/>
      <c r="EV34" s="140"/>
      <c r="EW34" s="170"/>
      <c r="EX34" s="171"/>
      <c r="EY34" s="172"/>
      <c r="EZ34" s="173"/>
      <c r="FA34" s="105"/>
      <c r="FB34" s="182"/>
      <c r="FC34" s="173"/>
      <c r="FD34" s="183"/>
      <c r="FE34" s="147"/>
      <c r="FF34" s="140"/>
      <c r="FG34" s="170"/>
      <c r="FH34" s="171"/>
      <c r="FI34" s="172"/>
      <c r="FJ34" s="173"/>
      <c r="FK34" s="105"/>
      <c r="FL34" s="182"/>
      <c r="FM34" s="173"/>
      <c r="FN34" s="183"/>
      <c r="FO34" s="147"/>
      <c r="FP34" s="140"/>
      <c r="FQ34" s="170"/>
      <c r="FR34" s="171"/>
      <c r="FS34" s="172"/>
      <c r="FT34" s="173"/>
      <c r="FU34" s="105"/>
      <c r="FV34" s="182"/>
      <c r="FW34" s="173"/>
      <c r="FX34" s="183"/>
      <c r="FY34" s="147"/>
      <c r="FZ34" s="140"/>
      <c r="GA34" s="170"/>
      <c r="GB34" s="171"/>
      <c r="GC34" s="172"/>
      <c r="GD34" s="173"/>
      <c r="GE34" s="105"/>
      <c r="GF34" s="182"/>
      <c r="GG34" s="173"/>
      <c r="GH34" s="183"/>
      <c r="GI34" s="147"/>
      <c r="GJ34" s="140"/>
      <c r="GK34" s="170"/>
      <c r="GL34" s="171"/>
      <c r="GM34" s="172"/>
      <c r="GN34" s="173"/>
      <c r="GO34" s="105"/>
      <c r="GP34" s="182"/>
      <c r="GQ34" s="173"/>
      <c r="GR34" s="183"/>
      <c r="GS34" s="147"/>
      <c r="GT34" s="140"/>
      <c r="GU34" s="170"/>
      <c r="GV34" s="171"/>
      <c r="GW34" s="172"/>
      <c r="GX34" s="173"/>
      <c r="GY34" s="105"/>
      <c r="GZ34" s="182"/>
      <c r="HA34" s="173"/>
      <c r="HB34" s="183"/>
      <c r="HC34" s="147"/>
      <c r="HD34" s="140"/>
      <c r="HE34" s="170"/>
      <c r="HF34" s="171"/>
      <c r="HG34" s="172"/>
      <c r="HH34" s="173"/>
      <c r="HI34" s="105"/>
      <c r="HJ34" s="182"/>
      <c r="HK34" s="173"/>
      <c r="HL34" s="183"/>
      <c r="HM34" s="147"/>
      <c r="HN34" s="140"/>
      <c r="HO34" s="170"/>
      <c r="HP34" s="171"/>
      <c r="HQ34" s="172"/>
      <c r="HR34" s="173"/>
      <c r="HS34" s="105"/>
      <c r="HT34" s="182"/>
      <c r="HU34" s="173"/>
      <c r="HV34" s="183"/>
      <c r="HW34" s="147"/>
      <c r="HX34" s="140"/>
      <c r="HY34" s="170"/>
      <c r="HZ34" s="171"/>
      <c r="IA34" s="172"/>
      <c r="IB34" s="173"/>
      <c r="IC34" s="105"/>
      <c r="ID34" s="182"/>
      <c r="IE34" s="173"/>
      <c r="IF34" s="183"/>
      <c r="IG34" s="147"/>
      <c r="IH34" s="140"/>
      <c r="II34" s="170"/>
      <c r="IJ34" s="171"/>
      <c r="IK34" s="172"/>
      <c r="IL34" s="173"/>
      <c r="IM34" s="105"/>
      <c r="IN34" s="182"/>
      <c r="IO34" s="173"/>
      <c r="IP34" s="183"/>
      <c r="IQ34" s="147"/>
      <c r="IR34" s="140"/>
      <c r="IS34" s="170"/>
      <c r="IT34" s="171"/>
      <c r="IU34" s="172"/>
      <c r="IV34" s="173"/>
    </row>
    <row r="35" spans="1:10" s="188" customFormat="1" ht="19.5" customHeight="1">
      <c r="A35" s="162">
        <f>A33+Vorgaben!$D$3+Vorgaben!$D$5</f>
        <v>0.44444444444444425</v>
      </c>
      <c r="B35" s="163">
        <v>22</v>
      </c>
      <c r="C35" s="164" t="s">
        <v>17</v>
      </c>
      <c r="D35" s="165" t="s">
        <v>130</v>
      </c>
      <c r="E35" s="166" t="str">
        <f>G4</f>
        <v>Minis Rot</v>
      </c>
      <c r="F35" s="167" t="s">
        <v>14</v>
      </c>
      <c r="G35" s="168" t="str">
        <f>G3</f>
        <v>Hl. Kreuz</v>
      </c>
      <c r="H35" s="189"/>
      <c r="I35" s="167" t="s">
        <v>15</v>
      </c>
      <c r="J35" s="190"/>
    </row>
    <row r="36" spans="1:10" s="188" customFormat="1" ht="19.5" customHeight="1">
      <c r="A36" s="169">
        <f>A35</f>
        <v>0.44444444444444425</v>
      </c>
      <c r="B36" s="140">
        <v>23</v>
      </c>
      <c r="C36" s="170" t="s">
        <v>18</v>
      </c>
      <c r="D36" s="171" t="s">
        <v>131</v>
      </c>
      <c r="E36" s="172" t="str">
        <f>G11</f>
        <v>ALFons Allstars</v>
      </c>
      <c r="F36" s="173" t="s">
        <v>14</v>
      </c>
      <c r="G36" s="105" t="str">
        <f>G8</f>
        <v>Minis Mühlhausen/Rettigheim</v>
      </c>
      <c r="H36" s="182"/>
      <c r="I36" s="173" t="s">
        <v>15</v>
      </c>
      <c r="J36" s="191"/>
    </row>
    <row r="37" spans="1:256" s="188" customFormat="1" ht="19.5" customHeight="1">
      <c r="A37" s="174">
        <f>A36</f>
        <v>0.44444444444444425</v>
      </c>
      <c r="B37" s="175">
        <v>24</v>
      </c>
      <c r="C37" s="176" t="s">
        <v>18</v>
      </c>
      <c r="D37" s="171" t="s">
        <v>132</v>
      </c>
      <c r="E37" s="177" t="str">
        <f>G10</f>
        <v>Letzenbergkicker</v>
      </c>
      <c r="F37" s="178" t="s">
        <v>14</v>
      </c>
      <c r="G37" s="179" t="str">
        <f>G9</f>
        <v>Bolzplatzkickers</v>
      </c>
      <c r="H37" s="192"/>
      <c r="I37" s="178" t="s">
        <v>15</v>
      </c>
      <c r="J37" s="193"/>
      <c r="K37" s="147"/>
      <c r="L37" s="140"/>
      <c r="M37" s="170"/>
      <c r="N37" s="171"/>
      <c r="O37" s="172"/>
      <c r="P37" s="173"/>
      <c r="Q37" s="105"/>
      <c r="R37" s="182"/>
      <c r="S37" s="173"/>
      <c r="T37" s="183"/>
      <c r="U37" s="147"/>
      <c r="V37" s="140"/>
      <c r="W37" s="170"/>
      <c r="X37" s="171"/>
      <c r="Y37" s="172"/>
      <c r="Z37" s="173"/>
      <c r="AA37" s="105"/>
      <c r="AB37" s="182"/>
      <c r="AC37" s="173"/>
      <c r="AD37" s="183"/>
      <c r="AE37" s="147"/>
      <c r="AF37" s="140"/>
      <c r="AG37" s="170"/>
      <c r="AH37" s="171"/>
      <c r="AI37" s="172"/>
      <c r="AJ37" s="173"/>
      <c r="AK37" s="105"/>
      <c r="AL37" s="182"/>
      <c r="AM37" s="173"/>
      <c r="AN37" s="183"/>
      <c r="AO37" s="147"/>
      <c r="AP37" s="140"/>
      <c r="AQ37" s="170"/>
      <c r="AR37" s="171"/>
      <c r="AS37" s="172"/>
      <c r="AT37" s="173"/>
      <c r="AU37" s="105"/>
      <c r="AV37" s="182"/>
      <c r="AW37" s="173"/>
      <c r="AX37" s="183"/>
      <c r="AY37" s="147"/>
      <c r="AZ37" s="140"/>
      <c r="BA37" s="170"/>
      <c r="BB37" s="171"/>
      <c r="BC37" s="172"/>
      <c r="BD37" s="173"/>
      <c r="BE37" s="105"/>
      <c r="BF37" s="182"/>
      <c r="BG37" s="173"/>
      <c r="BH37" s="183"/>
      <c r="BI37" s="147"/>
      <c r="BJ37" s="140"/>
      <c r="BK37" s="170"/>
      <c r="BL37" s="171"/>
      <c r="BM37" s="172"/>
      <c r="BN37" s="173"/>
      <c r="BO37" s="105"/>
      <c r="BP37" s="182"/>
      <c r="BQ37" s="173"/>
      <c r="BR37" s="183"/>
      <c r="BS37" s="147"/>
      <c r="BT37" s="140"/>
      <c r="BU37" s="170"/>
      <c r="BV37" s="171"/>
      <c r="BW37" s="172"/>
      <c r="BX37" s="173"/>
      <c r="BY37" s="105"/>
      <c r="BZ37" s="182"/>
      <c r="CA37" s="173"/>
      <c r="CB37" s="183"/>
      <c r="CC37" s="147"/>
      <c r="CD37" s="140"/>
      <c r="CE37" s="170"/>
      <c r="CF37" s="171"/>
      <c r="CG37" s="172"/>
      <c r="CH37" s="173"/>
      <c r="CI37" s="105"/>
      <c r="CJ37" s="182"/>
      <c r="CK37" s="173"/>
      <c r="CL37" s="183"/>
      <c r="CM37" s="147"/>
      <c r="CN37" s="140"/>
      <c r="CO37" s="170"/>
      <c r="CP37" s="171"/>
      <c r="CQ37" s="172"/>
      <c r="CR37" s="173"/>
      <c r="CS37" s="105"/>
      <c r="CT37" s="182"/>
      <c r="CU37" s="173"/>
      <c r="CV37" s="183"/>
      <c r="CW37" s="147"/>
      <c r="CX37" s="140"/>
      <c r="CY37" s="170"/>
      <c r="CZ37" s="171"/>
      <c r="DA37" s="172"/>
      <c r="DB37" s="173"/>
      <c r="DC37" s="105"/>
      <c r="DD37" s="182"/>
      <c r="DE37" s="173"/>
      <c r="DF37" s="183"/>
      <c r="DG37" s="147"/>
      <c r="DH37" s="140"/>
      <c r="DI37" s="170"/>
      <c r="DJ37" s="171"/>
      <c r="DK37" s="172"/>
      <c r="DL37" s="173"/>
      <c r="DM37" s="105"/>
      <c r="DN37" s="182"/>
      <c r="DO37" s="173"/>
      <c r="DP37" s="183"/>
      <c r="DQ37" s="147"/>
      <c r="DR37" s="140"/>
      <c r="DS37" s="170"/>
      <c r="DT37" s="171"/>
      <c r="DU37" s="172"/>
      <c r="DV37" s="173"/>
      <c r="DW37" s="105"/>
      <c r="DX37" s="182"/>
      <c r="DY37" s="173"/>
      <c r="DZ37" s="183"/>
      <c r="EA37" s="147"/>
      <c r="EB37" s="140"/>
      <c r="EC37" s="170"/>
      <c r="ED37" s="171"/>
      <c r="EE37" s="172"/>
      <c r="EF37" s="173"/>
      <c r="EG37" s="105"/>
      <c r="EH37" s="182"/>
      <c r="EI37" s="173"/>
      <c r="EJ37" s="183"/>
      <c r="EK37" s="147"/>
      <c r="EL37" s="140"/>
      <c r="EM37" s="170"/>
      <c r="EN37" s="171"/>
      <c r="EO37" s="172"/>
      <c r="EP37" s="173"/>
      <c r="EQ37" s="105"/>
      <c r="ER37" s="182"/>
      <c r="ES37" s="173"/>
      <c r="ET37" s="183"/>
      <c r="EU37" s="147"/>
      <c r="EV37" s="140"/>
      <c r="EW37" s="170"/>
      <c r="EX37" s="171"/>
      <c r="EY37" s="172"/>
      <c r="EZ37" s="173"/>
      <c r="FA37" s="105"/>
      <c r="FB37" s="182"/>
      <c r="FC37" s="173"/>
      <c r="FD37" s="183"/>
      <c r="FE37" s="147"/>
      <c r="FF37" s="140"/>
      <c r="FG37" s="170"/>
      <c r="FH37" s="171"/>
      <c r="FI37" s="172"/>
      <c r="FJ37" s="173"/>
      <c r="FK37" s="105"/>
      <c r="FL37" s="182"/>
      <c r="FM37" s="173"/>
      <c r="FN37" s="183"/>
      <c r="FO37" s="147"/>
      <c r="FP37" s="140"/>
      <c r="FQ37" s="170"/>
      <c r="FR37" s="171"/>
      <c r="FS37" s="172"/>
      <c r="FT37" s="173"/>
      <c r="FU37" s="105"/>
      <c r="FV37" s="182"/>
      <c r="FW37" s="173"/>
      <c r="FX37" s="183"/>
      <c r="FY37" s="147"/>
      <c r="FZ37" s="140"/>
      <c r="GA37" s="170"/>
      <c r="GB37" s="171"/>
      <c r="GC37" s="172"/>
      <c r="GD37" s="173"/>
      <c r="GE37" s="105"/>
      <c r="GF37" s="182"/>
      <c r="GG37" s="173"/>
      <c r="GH37" s="183"/>
      <c r="GI37" s="147"/>
      <c r="GJ37" s="140"/>
      <c r="GK37" s="170"/>
      <c r="GL37" s="171"/>
      <c r="GM37" s="172"/>
      <c r="GN37" s="173"/>
      <c r="GO37" s="105"/>
      <c r="GP37" s="182"/>
      <c r="GQ37" s="173"/>
      <c r="GR37" s="183"/>
      <c r="GS37" s="147"/>
      <c r="GT37" s="140"/>
      <c r="GU37" s="170"/>
      <c r="GV37" s="171"/>
      <c r="GW37" s="172"/>
      <c r="GX37" s="173"/>
      <c r="GY37" s="105"/>
      <c r="GZ37" s="182"/>
      <c r="HA37" s="173"/>
      <c r="HB37" s="183"/>
      <c r="HC37" s="147"/>
      <c r="HD37" s="140"/>
      <c r="HE37" s="170"/>
      <c r="HF37" s="171"/>
      <c r="HG37" s="172"/>
      <c r="HH37" s="173"/>
      <c r="HI37" s="105"/>
      <c r="HJ37" s="182"/>
      <c r="HK37" s="173"/>
      <c r="HL37" s="183"/>
      <c r="HM37" s="147"/>
      <c r="HN37" s="140"/>
      <c r="HO37" s="170"/>
      <c r="HP37" s="171"/>
      <c r="HQ37" s="172"/>
      <c r="HR37" s="173"/>
      <c r="HS37" s="105"/>
      <c r="HT37" s="182"/>
      <c r="HU37" s="173"/>
      <c r="HV37" s="183"/>
      <c r="HW37" s="147"/>
      <c r="HX37" s="140"/>
      <c r="HY37" s="170"/>
      <c r="HZ37" s="171"/>
      <c r="IA37" s="172"/>
      <c r="IB37" s="173"/>
      <c r="IC37" s="105"/>
      <c r="ID37" s="182"/>
      <c r="IE37" s="173"/>
      <c r="IF37" s="183"/>
      <c r="IG37" s="147"/>
      <c r="IH37" s="140"/>
      <c r="II37" s="170"/>
      <c r="IJ37" s="171"/>
      <c r="IK37" s="172"/>
      <c r="IL37" s="173"/>
      <c r="IM37" s="105"/>
      <c r="IN37" s="182"/>
      <c r="IO37" s="173"/>
      <c r="IP37" s="183"/>
      <c r="IQ37" s="147"/>
      <c r="IR37" s="140"/>
      <c r="IS37" s="170"/>
      <c r="IT37" s="171"/>
      <c r="IU37" s="172"/>
      <c r="IV37" s="173"/>
    </row>
    <row r="38" spans="1:9" ht="77.25" customHeight="1">
      <c r="A38" s="76"/>
      <c r="B38" s="76"/>
      <c r="C38" s="159"/>
      <c r="D38" s="160"/>
      <c r="E38" s="203"/>
      <c r="F38" s="203"/>
      <c r="G38" s="203"/>
      <c r="H38" s="68"/>
      <c r="I38" s="67"/>
    </row>
    <row r="39" spans="1:12" ht="33" customHeight="1">
      <c r="A39" s="81"/>
      <c r="B39" s="89"/>
      <c r="C39" s="159"/>
      <c r="D39" s="160"/>
      <c r="E39" s="78"/>
      <c r="F39" s="59"/>
      <c r="G39" s="77"/>
      <c r="H39" s="72"/>
      <c r="J39" s="71"/>
      <c r="L39" s="77"/>
    </row>
    <row r="40" spans="1:12" ht="12.75">
      <c r="A40" s="83"/>
      <c r="B40" s="89"/>
      <c r="C40" s="159"/>
      <c r="D40" s="160"/>
      <c r="E40" s="69"/>
      <c r="F40" s="69"/>
      <c r="G40" s="70"/>
      <c r="H40" s="202"/>
      <c r="I40" s="202"/>
      <c r="J40" s="202"/>
      <c r="L40" s="70"/>
    </row>
    <row r="41" spans="1:7" ht="12.75">
      <c r="A41" s="82"/>
      <c r="B41" s="89"/>
      <c r="C41" s="159"/>
      <c r="D41" s="160"/>
      <c r="F41" s="59"/>
      <c r="G41" s="64"/>
    </row>
    <row r="42" spans="1:10" ht="13.5">
      <c r="A42" s="81"/>
      <c r="B42" s="82"/>
      <c r="C42" s="159"/>
      <c r="D42" s="160"/>
      <c r="E42" s="78"/>
      <c r="F42" s="59"/>
      <c r="G42" s="77"/>
      <c r="H42" s="72"/>
      <c r="J42" s="71"/>
    </row>
    <row r="43" spans="1:10" ht="12.75">
      <c r="A43" s="83"/>
      <c r="B43" s="89"/>
      <c r="C43" s="159"/>
      <c r="D43" s="160"/>
      <c r="E43" s="69"/>
      <c r="F43" s="69"/>
      <c r="G43" s="70"/>
      <c r="H43" s="202"/>
      <c r="I43" s="202"/>
      <c r="J43" s="202"/>
    </row>
    <row r="44" spans="1:7" ht="12.75">
      <c r="A44" s="83"/>
      <c r="B44" s="89"/>
      <c r="C44" s="159"/>
      <c r="D44" s="160"/>
      <c r="E44" s="69"/>
      <c r="F44" s="69"/>
      <c r="G44" s="70"/>
    </row>
    <row r="45" spans="1:10" ht="13.5">
      <c r="A45" s="81"/>
      <c r="B45" s="82"/>
      <c r="C45" s="159"/>
      <c r="D45" s="160"/>
      <c r="E45" s="78"/>
      <c r="F45" s="59"/>
      <c r="G45" s="77"/>
      <c r="H45" s="72"/>
      <c r="J45" s="71"/>
    </row>
    <row r="46" spans="1:10" ht="12.75">
      <c r="A46" s="83"/>
      <c r="B46" s="89"/>
      <c r="C46" s="159"/>
      <c r="D46" s="160"/>
      <c r="E46" s="69"/>
      <c r="F46" s="69"/>
      <c r="G46" s="70"/>
      <c r="H46" s="202"/>
      <c r="I46" s="202"/>
      <c r="J46" s="202"/>
    </row>
    <row r="47" spans="1:7" ht="12.75">
      <c r="A47" s="82"/>
      <c r="B47" s="89"/>
      <c r="C47" s="159"/>
      <c r="D47" s="160"/>
      <c r="F47" s="59"/>
      <c r="G47" s="64"/>
    </row>
    <row r="48" spans="1:10" ht="13.5">
      <c r="A48" s="81"/>
      <c r="B48" s="82"/>
      <c r="C48" s="159"/>
      <c r="D48" s="160"/>
      <c r="E48" s="78"/>
      <c r="F48" s="59"/>
      <c r="G48" s="77"/>
      <c r="H48" s="72"/>
      <c r="J48" s="71"/>
    </row>
    <row r="49" spans="1:10" ht="12.75">
      <c r="A49" s="82"/>
      <c r="B49" s="89"/>
      <c r="C49" s="159"/>
      <c r="D49" s="161"/>
      <c r="E49" s="69"/>
      <c r="F49" s="69"/>
      <c r="G49" s="70"/>
      <c r="H49" s="202"/>
      <c r="I49" s="202"/>
      <c r="J49" s="202"/>
    </row>
    <row r="50" spans="1:7" ht="12.75">
      <c r="A50" s="82"/>
      <c r="B50" s="89"/>
      <c r="C50" s="159"/>
      <c r="D50" s="160"/>
      <c r="F50" s="64"/>
      <c r="G50" s="64"/>
    </row>
    <row r="51" spans="1:7" ht="12.75">
      <c r="A51" s="82"/>
      <c r="B51" s="89"/>
      <c r="C51" s="159"/>
      <c r="D51" s="160"/>
      <c r="E51" s="64"/>
      <c r="F51" s="59"/>
      <c r="G51" s="65"/>
    </row>
    <row r="52" spans="1:4" ht="12.75">
      <c r="A52" s="82"/>
      <c r="B52" s="89"/>
      <c r="C52" s="159"/>
      <c r="D52" s="160"/>
    </row>
    <row r="53" spans="1:9" ht="13.5">
      <c r="A53" s="82"/>
      <c r="B53" s="89"/>
      <c r="C53" s="159"/>
      <c r="D53" s="161"/>
      <c r="E53" s="203"/>
      <c r="F53" s="203"/>
      <c r="G53" s="203"/>
      <c r="H53" s="68"/>
      <c r="I53" s="67"/>
    </row>
    <row r="54" spans="1:10" ht="33" customHeight="1">
      <c r="A54" s="81"/>
      <c r="B54" s="84"/>
      <c r="C54" s="159"/>
      <c r="D54" s="160"/>
      <c r="E54" s="79"/>
      <c r="F54" s="59"/>
      <c r="G54" s="80"/>
      <c r="H54" s="72"/>
      <c r="J54" s="71"/>
    </row>
    <row r="55" spans="1:10" ht="12.75">
      <c r="A55" s="85"/>
      <c r="B55" s="89"/>
      <c r="C55" s="159"/>
      <c r="D55" s="160"/>
      <c r="E55" s="69"/>
      <c r="F55" s="69"/>
      <c r="G55" s="69"/>
      <c r="H55" s="202"/>
      <c r="I55" s="202"/>
      <c r="J55" s="202"/>
    </row>
    <row r="56" spans="1:7" ht="12.75">
      <c r="A56" s="84"/>
      <c r="B56" s="89"/>
      <c r="C56" s="159"/>
      <c r="D56" s="160"/>
      <c r="F56" s="59"/>
      <c r="G56" s="64"/>
    </row>
    <row r="57" spans="1:10" ht="13.5">
      <c r="A57" s="81"/>
      <c r="B57" s="84"/>
      <c r="C57" s="159"/>
      <c r="D57" s="160"/>
      <c r="E57" s="79"/>
      <c r="F57" s="59"/>
      <c r="G57" s="80"/>
      <c r="H57" s="72"/>
      <c r="J57" s="71"/>
    </row>
    <row r="58" spans="1:10" ht="12.75">
      <c r="A58" s="82"/>
      <c r="B58" s="89"/>
      <c r="C58" s="159"/>
      <c r="D58" s="161"/>
      <c r="E58" s="69"/>
      <c r="F58" s="69"/>
      <c r="G58" s="69"/>
      <c r="H58" s="202"/>
      <c r="I58" s="202"/>
      <c r="J58" s="202"/>
    </row>
    <row r="59" spans="1:7" ht="12.75">
      <c r="A59" s="82"/>
      <c r="B59" s="89"/>
      <c r="C59" s="159"/>
      <c r="D59" s="160"/>
      <c r="F59" s="64"/>
      <c r="G59" s="64"/>
    </row>
    <row r="60" spans="1:9" ht="39.75" customHeight="1">
      <c r="A60" s="82"/>
      <c r="B60" s="89"/>
      <c r="C60" s="159"/>
      <c r="D60" s="160"/>
      <c r="E60" s="203"/>
      <c r="F60" s="203"/>
      <c r="G60" s="203"/>
      <c r="H60" s="59"/>
      <c r="I60" s="67"/>
    </row>
    <row r="61" spans="1:10" ht="30" customHeight="1">
      <c r="A61" s="81"/>
      <c r="B61" s="82"/>
      <c r="C61" s="159"/>
      <c r="D61" s="160"/>
      <c r="E61" s="79"/>
      <c r="F61" s="59"/>
      <c r="G61" s="80"/>
      <c r="H61" s="72"/>
      <c r="I61" s="67"/>
      <c r="J61" s="71"/>
    </row>
    <row r="62" spans="1:10" ht="12.75">
      <c r="A62" s="86"/>
      <c r="B62" s="89"/>
      <c r="C62" s="159"/>
      <c r="D62" s="160"/>
      <c r="E62" s="69"/>
      <c r="F62" s="69"/>
      <c r="G62" s="70"/>
      <c r="H62" s="202"/>
      <c r="I62" s="202"/>
      <c r="J62" s="202"/>
    </row>
    <row r="63" spans="1:7" ht="12.75">
      <c r="A63" s="82"/>
      <c r="B63" s="89"/>
      <c r="C63" s="159"/>
      <c r="D63" s="160"/>
      <c r="F63" s="64"/>
      <c r="G63" s="64"/>
    </row>
    <row r="64" spans="1:9" ht="39.75" customHeight="1">
      <c r="A64" s="82"/>
      <c r="B64" s="89"/>
      <c r="C64" s="159"/>
      <c r="D64" s="161"/>
      <c r="E64" s="203"/>
      <c r="F64" s="203"/>
      <c r="G64" s="203"/>
      <c r="H64" s="67"/>
      <c r="I64" s="67"/>
    </row>
    <row r="65" spans="1:10" ht="33" customHeight="1">
      <c r="A65" s="81"/>
      <c r="B65" s="82"/>
      <c r="C65" s="159"/>
      <c r="D65" s="160"/>
      <c r="E65" s="79"/>
      <c r="F65" s="59"/>
      <c r="G65" s="80"/>
      <c r="H65" s="72"/>
      <c r="J65" s="71"/>
    </row>
    <row r="66" spans="1:10" ht="12.75">
      <c r="A66" s="82"/>
      <c r="B66" s="87"/>
      <c r="E66" s="69"/>
      <c r="F66" s="69"/>
      <c r="G66" s="70"/>
      <c r="H66" s="202"/>
      <c r="I66" s="202"/>
      <c r="J66" s="202"/>
    </row>
    <row r="67" spans="2:9" ht="12.75">
      <c r="B67" s="57"/>
      <c r="E67" s="57"/>
      <c r="G67" s="57"/>
      <c r="I67" s="57"/>
    </row>
  </sheetData>
  <sheetProtection password="E760" sheet="1" objects="1" scenarios="1"/>
  <mergeCells count="33">
    <mergeCell ref="G9:H9"/>
    <mergeCell ref="A4:D4"/>
    <mergeCell ref="A5:D5"/>
    <mergeCell ref="G4:H4"/>
    <mergeCell ref="G10:H10"/>
    <mergeCell ref="G11:H11"/>
    <mergeCell ref="A8:D8"/>
    <mergeCell ref="A9:D9"/>
    <mergeCell ref="A10:D10"/>
    <mergeCell ref="A11:D11"/>
    <mergeCell ref="G5:H5"/>
    <mergeCell ref="G8:H8"/>
    <mergeCell ref="G7:H7"/>
    <mergeCell ref="E60:G60"/>
    <mergeCell ref="E53:G53"/>
    <mergeCell ref="E38:G38"/>
    <mergeCell ref="A1:D1"/>
    <mergeCell ref="A7:D7"/>
    <mergeCell ref="G1:H1"/>
    <mergeCell ref="G2:H2"/>
    <mergeCell ref="A2:D2"/>
    <mergeCell ref="A3:D3"/>
    <mergeCell ref="G3:H3"/>
    <mergeCell ref="C13:D13"/>
    <mergeCell ref="H58:J58"/>
    <mergeCell ref="H62:J62"/>
    <mergeCell ref="H66:J66"/>
    <mergeCell ref="H40:J40"/>
    <mergeCell ref="H43:J43"/>
    <mergeCell ref="H46:J46"/>
    <mergeCell ref="H49:J49"/>
    <mergeCell ref="H55:J55"/>
    <mergeCell ref="E64:G64"/>
  </mergeCells>
  <printOptions/>
  <pageMargins left="0.56" right="0.38" top="1.56" bottom="0.63" header="0.59" footer="0.35"/>
  <pageSetup horizontalDpi="300" verticalDpi="300" orientation="portrait" paperSize="9" scale="95" r:id="rId3"/>
  <headerFooter alignWithMargins="0">
    <oddHeader>&amp;L&amp;G&amp;C&amp;"Arial,Fett"&amp;14&amp;EMinistranten-Turnier AK II 
Spielplan - Vorrunde -
&amp;RSamstag, 06.12.2008
StadionhalleWiesoch</oddHeader>
  </headerFooter>
  <legacyDrawing r:id="rId1"/>
  <legacyDrawingHF r:id="rId2"/>
</worksheet>
</file>

<file path=xl/worksheets/sheet5.xml><?xml version="1.0" encoding="utf-8"?>
<worksheet xmlns="http://schemas.openxmlformats.org/spreadsheetml/2006/main" xmlns:r="http://schemas.openxmlformats.org/officeDocument/2006/relationships">
  <sheetPr codeName="Tabelle7"/>
  <dimension ref="A1:L89"/>
  <sheetViews>
    <sheetView showRowColHeaders="0" zoomScale="110" zoomScaleNormal="110" zoomScalePageLayoutView="0" workbookViewId="0" topLeftCell="A1">
      <selection activeCell="I21" sqref="I21"/>
    </sheetView>
  </sheetViews>
  <sheetFormatPr defaultColWidth="11.421875" defaultRowHeight="12.75"/>
  <cols>
    <col min="1" max="1" width="14.421875" style="92" customWidth="1"/>
    <col min="2" max="2" width="5.421875" style="93" customWidth="1"/>
    <col min="3" max="3" width="4.57421875" style="91" customWidth="1"/>
    <col min="4" max="4" width="5.28125" style="91" customWidth="1"/>
    <col min="5" max="5" width="29.00390625" style="91" customWidth="1"/>
    <col min="6" max="6" width="1.57421875" style="90" customWidth="1"/>
    <col min="7" max="7" width="29.140625" style="91" customWidth="1"/>
    <col min="8" max="8" width="4.57421875" style="90" customWidth="1"/>
    <col min="9" max="9" width="1.7109375" style="91" customWidth="1"/>
    <col min="10" max="10" width="4.57421875" style="90" customWidth="1"/>
    <col min="11" max="16384" width="11.421875" style="90" customWidth="1"/>
  </cols>
  <sheetData>
    <row r="1" spans="1:10" s="58" customFormat="1" ht="15" customHeight="1">
      <c r="A1" s="232" t="s">
        <v>50</v>
      </c>
      <c r="B1" s="233"/>
      <c r="C1" s="233"/>
      <c r="D1" s="234"/>
      <c r="E1" s="107"/>
      <c r="F1" s="212" t="s">
        <v>52</v>
      </c>
      <c r="G1" s="212"/>
      <c r="H1" s="213"/>
      <c r="I1" s="116"/>
      <c r="J1" s="116"/>
    </row>
    <row r="2" spans="1:11" s="4" customFormat="1" ht="12.75">
      <c r="A2" s="235" t="str">
        <f>IF(Rechnen!$V$3=6,'Gruppen-Tabellen'!B3,"A1")</f>
        <v>A1</v>
      </c>
      <c r="B2" s="236"/>
      <c r="C2" s="236"/>
      <c r="D2" s="237"/>
      <c r="E2" s="108"/>
      <c r="F2" s="148"/>
      <c r="G2" s="214" t="str">
        <f>IF(Rechnen!$V$3=6,'Gruppen-Tabellen'!B5,"A3")</f>
        <v>A3</v>
      </c>
      <c r="H2" s="215"/>
      <c r="I2" s="117"/>
      <c r="J2" s="117"/>
      <c r="K2" s="102"/>
    </row>
    <row r="3" spans="1:11" s="4" customFormat="1" ht="9.75" customHeight="1">
      <c r="A3" s="228" t="s">
        <v>23</v>
      </c>
      <c r="B3" s="229"/>
      <c r="C3" s="229"/>
      <c r="D3" s="230"/>
      <c r="E3" s="112"/>
      <c r="F3" s="148"/>
      <c r="G3" s="238" t="s">
        <v>64</v>
      </c>
      <c r="H3" s="239"/>
      <c r="I3" s="118"/>
      <c r="J3" s="118"/>
      <c r="K3" s="103"/>
    </row>
    <row r="4" spans="1:11" s="4" customFormat="1" ht="12.75">
      <c r="A4" s="235" t="str">
        <f>IF(Rechnen!$W$3=6,'Gruppen-Tabellen'!B9,"B1")</f>
        <v>B1</v>
      </c>
      <c r="B4" s="236"/>
      <c r="C4" s="236"/>
      <c r="D4" s="237"/>
      <c r="E4" s="108"/>
      <c r="F4" s="148"/>
      <c r="G4" s="214" t="str">
        <f>IF(Rechnen!$W$3=6,'Gruppen-Tabellen'!B11,"B3")</f>
        <v>B3</v>
      </c>
      <c r="H4" s="215"/>
      <c r="I4" s="117"/>
      <c r="J4" s="117"/>
      <c r="K4" s="102"/>
    </row>
    <row r="5" spans="1:11" s="4" customFormat="1" ht="9.75" customHeight="1">
      <c r="A5" s="228" t="s">
        <v>21</v>
      </c>
      <c r="B5" s="229"/>
      <c r="C5" s="229"/>
      <c r="D5" s="230"/>
      <c r="E5" s="112"/>
      <c r="F5" s="148"/>
      <c r="G5" s="238" t="s">
        <v>65</v>
      </c>
      <c r="H5" s="239"/>
      <c r="I5" s="118"/>
      <c r="J5" s="118"/>
      <c r="K5" s="103"/>
    </row>
    <row r="6" spans="1:11" s="4" customFormat="1" ht="12.75">
      <c r="A6" s="235" t="str">
        <f>IF(Rechnen!$X$3=6,'Gruppen-Tabellen'!B16,"C2")</f>
        <v>C2</v>
      </c>
      <c r="B6" s="236"/>
      <c r="C6" s="236"/>
      <c r="D6" s="237"/>
      <c r="E6" s="108"/>
      <c r="F6" s="148"/>
      <c r="G6" s="214" t="str">
        <f>IF(Rechnen!$X$3=6,'Gruppen-Tabellen'!B18,"C4")</f>
        <v>C4</v>
      </c>
      <c r="H6" s="215"/>
      <c r="I6" s="117"/>
      <c r="J6" s="117"/>
      <c r="K6" s="102"/>
    </row>
    <row r="7" spans="1:11" s="4" customFormat="1" ht="9.75" customHeight="1">
      <c r="A7" s="228" t="s">
        <v>22</v>
      </c>
      <c r="B7" s="229"/>
      <c r="C7" s="229"/>
      <c r="D7" s="230"/>
      <c r="E7" s="112"/>
      <c r="F7" s="148"/>
      <c r="G7" s="238" t="s">
        <v>66</v>
      </c>
      <c r="H7" s="239"/>
      <c r="I7" s="118"/>
      <c r="J7" s="118"/>
      <c r="K7" s="103"/>
    </row>
    <row r="8" spans="1:11" s="4" customFormat="1" ht="12.75">
      <c r="A8" s="235" t="str">
        <f>IF(Rechnen!$Y$3=6,'Gruppen-Tabellen'!B22,"D2")</f>
        <v>D2</v>
      </c>
      <c r="B8" s="236"/>
      <c r="C8" s="236"/>
      <c r="D8" s="237"/>
      <c r="E8" s="108"/>
      <c r="F8" s="148"/>
      <c r="G8" s="214" t="str">
        <f>IF(Rechnen!$Y$3=6,'Gruppen-Tabellen'!B24,"D4")</f>
        <v>D4</v>
      </c>
      <c r="H8" s="215"/>
      <c r="I8" s="117"/>
      <c r="J8" s="117"/>
      <c r="K8" s="102"/>
    </row>
    <row r="9" spans="1:11" s="4" customFormat="1" ht="9.75" customHeight="1" thickBot="1">
      <c r="A9" s="240" t="s">
        <v>24</v>
      </c>
      <c r="B9" s="241"/>
      <c r="C9" s="241"/>
      <c r="D9" s="242"/>
      <c r="E9" s="112"/>
      <c r="F9" s="148"/>
      <c r="G9" s="245" t="s">
        <v>67</v>
      </c>
      <c r="H9" s="246"/>
      <c r="I9" s="118"/>
      <c r="J9" s="118"/>
      <c r="K9" s="103"/>
    </row>
    <row r="10" spans="1:11" s="4" customFormat="1" ht="9" customHeight="1" thickBot="1">
      <c r="A10" s="112"/>
      <c r="B10" s="108"/>
      <c r="C10" s="108"/>
      <c r="D10" s="108"/>
      <c r="E10" s="108"/>
      <c r="F10" s="148"/>
      <c r="G10" s="112"/>
      <c r="H10" s="108"/>
      <c r="I10" s="108"/>
      <c r="J10" s="108"/>
      <c r="K10" s="102"/>
    </row>
    <row r="11" spans="1:10" ht="15" customHeight="1">
      <c r="A11" s="106" t="s">
        <v>51</v>
      </c>
      <c r="B11" s="109" t="s">
        <v>1</v>
      </c>
      <c r="C11" s="110" t="s">
        <v>2</v>
      </c>
      <c r="D11" s="111"/>
      <c r="E11" s="108"/>
      <c r="F11" s="148"/>
      <c r="G11" s="243" t="s">
        <v>53</v>
      </c>
      <c r="H11" s="244"/>
      <c r="I11" s="116"/>
      <c r="J11" s="116"/>
    </row>
    <row r="12" spans="1:11" s="4" customFormat="1" ht="12.75">
      <c r="A12" s="235" t="str">
        <f>IF(Rechnen!$V$3=6,'Gruppen-Tabellen'!B4,"A2")</f>
        <v>A2</v>
      </c>
      <c r="B12" s="236"/>
      <c r="C12" s="236"/>
      <c r="D12" s="237"/>
      <c r="E12" s="108"/>
      <c r="F12" s="148"/>
      <c r="G12" s="214" t="str">
        <f>IF(Rechnen!$V$3=6,'Gruppen-Tabellen'!B6,"A4")</f>
        <v>A4</v>
      </c>
      <c r="H12" s="215"/>
      <c r="I12" s="117"/>
      <c r="J12" s="117"/>
      <c r="K12" s="102"/>
    </row>
    <row r="13" spans="1:11" s="4" customFormat="1" ht="9.75" customHeight="1">
      <c r="A13" s="228" t="s">
        <v>19</v>
      </c>
      <c r="B13" s="229"/>
      <c r="C13" s="229"/>
      <c r="D13" s="230"/>
      <c r="E13" s="112"/>
      <c r="F13" s="148"/>
      <c r="G13" s="238" t="s">
        <v>68</v>
      </c>
      <c r="H13" s="239"/>
      <c r="I13" s="118"/>
      <c r="J13" s="118"/>
      <c r="K13" s="103"/>
    </row>
    <row r="14" spans="1:11" s="4" customFormat="1" ht="12.75">
      <c r="A14" s="235" t="str">
        <f>IF(Rechnen!$W$3=6,'Gruppen-Tabellen'!B10,"B2")</f>
        <v>B2</v>
      </c>
      <c r="B14" s="236"/>
      <c r="C14" s="236"/>
      <c r="D14" s="237"/>
      <c r="E14" s="108"/>
      <c r="F14" s="148"/>
      <c r="G14" s="214" t="str">
        <f>IF(Rechnen!$W$3=6,'Gruppen-Tabellen'!B12,"B4")</f>
        <v>B4</v>
      </c>
      <c r="H14" s="215"/>
      <c r="I14" s="117"/>
      <c r="J14" s="117"/>
      <c r="K14" s="102"/>
    </row>
    <row r="15" spans="1:11" s="4" customFormat="1" ht="9.75" customHeight="1">
      <c r="A15" s="228" t="s">
        <v>26</v>
      </c>
      <c r="B15" s="229"/>
      <c r="C15" s="229"/>
      <c r="D15" s="230"/>
      <c r="E15" s="112"/>
      <c r="F15" s="148"/>
      <c r="G15" s="238" t="s">
        <v>69</v>
      </c>
      <c r="H15" s="239"/>
      <c r="I15" s="118"/>
      <c r="J15" s="118"/>
      <c r="K15" s="103"/>
    </row>
    <row r="16" spans="1:11" s="4" customFormat="1" ht="12.75">
      <c r="A16" s="235" t="str">
        <f>IF(Rechnen!$X$3=6,'Gruppen-Tabellen'!B15,"C1")</f>
        <v>C1</v>
      </c>
      <c r="B16" s="236"/>
      <c r="C16" s="236"/>
      <c r="D16" s="237"/>
      <c r="E16" s="108"/>
      <c r="F16" s="148"/>
      <c r="G16" s="214" t="str">
        <f>IF(Rechnen!$X$3=6,'Gruppen-Tabellen'!B17,"C3")</f>
        <v>C3</v>
      </c>
      <c r="H16" s="215"/>
      <c r="I16" s="117"/>
      <c r="J16" s="117"/>
      <c r="K16" s="102"/>
    </row>
    <row r="17" spans="1:11" s="4" customFormat="1" ht="9.75" customHeight="1">
      <c r="A17" s="228" t="s">
        <v>20</v>
      </c>
      <c r="B17" s="229"/>
      <c r="C17" s="229"/>
      <c r="D17" s="230"/>
      <c r="E17" s="112"/>
      <c r="F17" s="148"/>
      <c r="G17" s="238" t="s">
        <v>70</v>
      </c>
      <c r="H17" s="239"/>
      <c r="I17" s="118"/>
      <c r="J17" s="118"/>
      <c r="K17" s="103"/>
    </row>
    <row r="18" spans="1:11" s="4" customFormat="1" ht="12.75">
      <c r="A18" s="235" t="str">
        <f>IF(Rechnen!$Y$3=6,'Gruppen-Tabellen'!B21,"D1")</f>
        <v>D1</v>
      </c>
      <c r="B18" s="236"/>
      <c r="C18" s="236"/>
      <c r="D18" s="237"/>
      <c r="E18" s="108"/>
      <c r="F18" s="148"/>
      <c r="G18" s="214" t="str">
        <f>IF(Rechnen!$Y$3=6,'Gruppen-Tabellen'!B23,"D3")</f>
        <v>D3</v>
      </c>
      <c r="H18" s="215"/>
      <c r="I18" s="117"/>
      <c r="J18" s="117"/>
      <c r="K18" s="102"/>
    </row>
    <row r="19" spans="1:11" s="4" customFormat="1" ht="9.75" customHeight="1" thickBot="1">
      <c r="A19" s="240" t="s">
        <v>25</v>
      </c>
      <c r="B19" s="241"/>
      <c r="C19" s="241"/>
      <c r="D19" s="242"/>
      <c r="E19" s="112"/>
      <c r="F19" s="148"/>
      <c r="G19" s="245" t="s">
        <v>71</v>
      </c>
      <c r="H19" s="246"/>
      <c r="I19" s="118"/>
      <c r="J19" s="118"/>
      <c r="K19" s="103"/>
    </row>
    <row r="20" ht="8.25" customHeight="1"/>
    <row r="21" spans="1:10" s="60" customFormat="1" ht="21.75" customHeight="1">
      <c r="A21" s="60" t="s">
        <v>8</v>
      </c>
      <c r="B21" s="60" t="s">
        <v>9</v>
      </c>
      <c r="C21" s="201" t="s">
        <v>10</v>
      </c>
      <c r="D21" s="201"/>
      <c r="E21" s="94" t="s">
        <v>49</v>
      </c>
      <c r="F21" s="61"/>
      <c r="G21" s="61"/>
      <c r="H21" s="62" t="s">
        <v>12</v>
      </c>
      <c r="I21" s="63"/>
      <c r="J21" s="63"/>
    </row>
    <row r="22" spans="1:10" s="100" customFormat="1" ht="18.75" customHeight="1">
      <c r="A22" s="162">
        <f>Vorgaben!D15</f>
        <v>0.576388888888889</v>
      </c>
      <c r="B22" s="163">
        <v>25</v>
      </c>
      <c r="C22" s="164" t="s">
        <v>74</v>
      </c>
      <c r="D22" s="184" t="s">
        <v>130</v>
      </c>
      <c r="E22" s="166" t="str">
        <f>A2</f>
        <v>A1</v>
      </c>
      <c r="F22" s="167" t="s">
        <v>14</v>
      </c>
      <c r="G22" s="168" t="str">
        <f>A4</f>
        <v>B1</v>
      </c>
      <c r="H22" s="189"/>
      <c r="I22" s="167" t="s">
        <v>15</v>
      </c>
      <c r="J22" s="190"/>
    </row>
    <row r="23" spans="1:10" s="100" customFormat="1" ht="18.75" customHeight="1">
      <c r="A23" s="169">
        <f>A22</f>
        <v>0.576388888888889</v>
      </c>
      <c r="B23" s="140">
        <v>29</v>
      </c>
      <c r="C23" s="170" t="s">
        <v>74</v>
      </c>
      <c r="D23" s="185" t="s">
        <v>131</v>
      </c>
      <c r="E23" s="172" t="str">
        <f>A6</f>
        <v>C2</v>
      </c>
      <c r="F23" s="173" t="s">
        <v>14</v>
      </c>
      <c r="G23" s="105" t="str">
        <f>A8</f>
        <v>D2</v>
      </c>
      <c r="H23" s="182"/>
      <c r="I23" s="173" t="s">
        <v>15</v>
      </c>
      <c r="J23" s="191"/>
    </row>
    <row r="24" spans="1:10" s="100" customFormat="1" ht="18.75" customHeight="1">
      <c r="A24" s="174">
        <f>A23</f>
        <v>0.576388888888889</v>
      </c>
      <c r="B24" s="175">
        <v>26</v>
      </c>
      <c r="C24" s="176" t="s">
        <v>75</v>
      </c>
      <c r="D24" s="186" t="s">
        <v>132</v>
      </c>
      <c r="E24" s="177" t="str">
        <f>A12</f>
        <v>A2</v>
      </c>
      <c r="F24" s="178" t="s">
        <v>14</v>
      </c>
      <c r="G24" s="179" t="str">
        <f>A14</f>
        <v>B2</v>
      </c>
      <c r="H24" s="192"/>
      <c r="I24" s="178" t="s">
        <v>15</v>
      </c>
      <c r="J24" s="193"/>
    </row>
    <row r="25" spans="1:10" s="100" customFormat="1" ht="18.75" customHeight="1">
      <c r="A25" s="162">
        <f>A24+Vorgaben!$D$3+Vorgaben!$D$5</f>
        <v>0.5833333333333334</v>
      </c>
      <c r="B25" s="163">
        <v>30</v>
      </c>
      <c r="C25" s="164" t="s">
        <v>75</v>
      </c>
      <c r="D25" s="184" t="s">
        <v>130</v>
      </c>
      <c r="E25" s="166" t="str">
        <f>A16</f>
        <v>C1</v>
      </c>
      <c r="F25" s="167" t="s">
        <v>14</v>
      </c>
      <c r="G25" s="168" t="str">
        <f>A18</f>
        <v>D1</v>
      </c>
      <c r="H25" s="189"/>
      <c r="I25" s="167" t="s">
        <v>15</v>
      </c>
      <c r="J25" s="190"/>
    </row>
    <row r="26" spans="1:10" s="100" customFormat="1" ht="18.75" customHeight="1">
      <c r="A26" s="169">
        <f>A25</f>
        <v>0.5833333333333334</v>
      </c>
      <c r="B26" s="140">
        <v>27</v>
      </c>
      <c r="C26" s="170" t="s">
        <v>76</v>
      </c>
      <c r="D26" s="185" t="s">
        <v>131</v>
      </c>
      <c r="E26" s="172" t="str">
        <f>G2</f>
        <v>A3</v>
      </c>
      <c r="F26" s="173" t="s">
        <v>14</v>
      </c>
      <c r="G26" s="105" t="str">
        <f>G4</f>
        <v>B3</v>
      </c>
      <c r="H26" s="182"/>
      <c r="I26" s="173" t="s">
        <v>15</v>
      </c>
      <c r="J26" s="191"/>
    </row>
    <row r="27" spans="1:10" s="100" customFormat="1" ht="18.75" customHeight="1">
      <c r="A27" s="174">
        <f>A26</f>
        <v>0.5833333333333334</v>
      </c>
      <c r="B27" s="175">
        <v>31</v>
      </c>
      <c r="C27" s="176" t="s">
        <v>76</v>
      </c>
      <c r="D27" s="186" t="s">
        <v>132</v>
      </c>
      <c r="E27" s="177" t="str">
        <f>G6</f>
        <v>C4</v>
      </c>
      <c r="F27" s="178" t="s">
        <v>14</v>
      </c>
      <c r="G27" s="179" t="str">
        <f>G8</f>
        <v>D4</v>
      </c>
      <c r="H27" s="192"/>
      <c r="I27" s="178" t="s">
        <v>15</v>
      </c>
      <c r="J27" s="193"/>
    </row>
    <row r="28" spans="1:10" s="100" customFormat="1" ht="18.75" customHeight="1">
      <c r="A28" s="162">
        <f>A27+Vorgaben!$D$3+Vorgaben!$D$5</f>
        <v>0.5902777777777778</v>
      </c>
      <c r="B28" s="163">
        <v>28</v>
      </c>
      <c r="C28" s="164" t="s">
        <v>77</v>
      </c>
      <c r="D28" s="184" t="s">
        <v>130</v>
      </c>
      <c r="E28" s="166" t="str">
        <f>G12</f>
        <v>A4</v>
      </c>
      <c r="F28" s="167" t="s">
        <v>14</v>
      </c>
      <c r="G28" s="168" t="str">
        <f>G14</f>
        <v>B4</v>
      </c>
      <c r="H28" s="189"/>
      <c r="I28" s="167" t="s">
        <v>15</v>
      </c>
      <c r="J28" s="190"/>
    </row>
    <row r="29" spans="1:10" s="100" customFormat="1" ht="18.75" customHeight="1">
      <c r="A29" s="169">
        <f>A28</f>
        <v>0.5902777777777778</v>
      </c>
      <c r="B29" s="140">
        <v>32</v>
      </c>
      <c r="C29" s="170" t="s">
        <v>77</v>
      </c>
      <c r="D29" s="185" t="s">
        <v>131</v>
      </c>
      <c r="E29" s="172" t="str">
        <f>G16</f>
        <v>C3</v>
      </c>
      <c r="F29" s="173" t="s">
        <v>14</v>
      </c>
      <c r="G29" s="105" t="str">
        <f>G18</f>
        <v>D3</v>
      </c>
      <c r="H29" s="182"/>
      <c r="I29" s="173" t="s">
        <v>15</v>
      </c>
      <c r="J29" s="191"/>
    </row>
    <row r="30" spans="1:10" s="100" customFormat="1" ht="18.75" customHeight="1">
      <c r="A30" s="174">
        <f>A29</f>
        <v>0.5902777777777778</v>
      </c>
      <c r="B30" s="175">
        <v>33</v>
      </c>
      <c r="C30" s="176" t="s">
        <v>74</v>
      </c>
      <c r="D30" s="186" t="s">
        <v>132</v>
      </c>
      <c r="E30" s="177" t="str">
        <f>A2</f>
        <v>A1</v>
      </c>
      <c r="F30" s="178" t="s">
        <v>14</v>
      </c>
      <c r="G30" s="179" t="str">
        <f>A6</f>
        <v>C2</v>
      </c>
      <c r="H30" s="192"/>
      <c r="I30" s="178" t="s">
        <v>15</v>
      </c>
      <c r="J30" s="193"/>
    </row>
    <row r="31" spans="1:10" s="100" customFormat="1" ht="18.75" customHeight="1">
      <c r="A31" s="162">
        <f>A30+Vorgaben!$D$3+Vorgaben!$D$5</f>
        <v>0.5972222222222222</v>
      </c>
      <c r="B31" s="163">
        <v>37</v>
      </c>
      <c r="C31" s="164" t="s">
        <v>74</v>
      </c>
      <c r="D31" s="184" t="s">
        <v>130</v>
      </c>
      <c r="E31" s="166" t="str">
        <f>A4</f>
        <v>B1</v>
      </c>
      <c r="F31" s="167" t="s">
        <v>14</v>
      </c>
      <c r="G31" s="168" t="str">
        <f>A8</f>
        <v>D2</v>
      </c>
      <c r="H31" s="189"/>
      <c r="I31" s="167" t="s">
        <v>15</v>
      </c>
      <c r="J31" s="190"/>
    </row>
    <row r="32" spans="1:10" s="100" customFormat="1" ht="18.75" customHeight="1">
      <c r="A32" s="169">
        <f>A31</f>
        <v>0.5972222222222222</v>
      </c>
      <c r="B32" s="140">
        <v>34</v>
      </c>
      <c r="C32" s="170" t="s">
        <v>75</v>
      </c>
      <c r="D32" s="185" t="s">
        <v>131</v>
      </c>
      <c r="E32" s="172" t="str">
        <f>A12</f>
        <v>A2</v>
      </c>
      <c r="F32" s="173" t="s">
        <v>14</v>
      </c>
      <c r="G32" s="105" t="str">
        <f>A16</f>
        <v>C1</v>
      </c>
      <c r="H32" s="182"/>
      <c r="I32" s="173" t="s">
        <v>15</v>
      </c>
      <c r="J32" s="191"/>
    </row>
    <row r="33" spans="1:10" s="100" customFormat="1" ht="18.75" customHeight="1">
      <c r="A33" s="174">
        <f>A32</f>
        <v>0.5972222222222222</v>
      </c>
      <c r="B33" s="175">
        <v>38</v>
      </c>
      <c r="C33" s="176" t="s">
        <v>75</v>
      </c>
      <c r="D33" s="186" t="s">
        <v>132</v>
      </c>
      <c r="E33" s="177" t="str">
        <f>A14</f>
        <v>B2</v>
      </c>
      <c r="F33" s="178" t="s">
        <v>14</v>
      </c>
      <c r="G33" s="179" t="str">
        <f>A18</f>
        <v>D1</v>
      </c>
      <c r="H33" s="192"/>
      <c r="I33" s="178" t="s">
        <v>15</v>
      </c>
      <c r="J33" s="193"/>
    </row>
    <row r="34" spans="1:10" s="100" customFormat="1" ht="18.75" customHeight="1">
      <c r="A34" s="162">
        <f>A33+Vorgaben!$D$3+Vorgaben!$D$5</f>
        <v>0.6041666666666666</v>
      </c>
      <c r="B34" s="163">
        <v>35</v>
      </c>
      <c r="C34" s="164" t="s">
        <v>76</v>
      </c>
      <c r="D34" s="184" t="s">
        <v>130</v>
      </c>
      <c r="E34" s="166" t="str">
        <f>G2</f>
        <v>A3</v>
      </c>
      <c r="F34" s="167" t="s">
        <v>14</v>
      </c>
      <c r="G34" s="168" t="str">
        <f>G6</f>
        <v>C4</v>
      </c>
      <c r="H34" s="189"/>
      <c r="I34" s="167" t="s">
        <v>15</v>
      </c>
      <c r="J34" s="190"/>
    </row>
    <row r="35" spans="1:10" s="100" customFormat="1" ht="18.75" customHeight="1">
      <c r="A35" s="169">
        <f>A34</f>
        <v>0.6041666666666666</v>
      </c>
      <c r="B35" s="140">
        <v>39</v>
      </c>
      <c r="C35" s="170" t="s">
        <v>76</v>
      </c>
      <c r="D35" s="185" t="s">
        <v>131</v>
      </c>
      <c r="E35" s="172" t="str">
        <f>G4</f>
        <v>B3</v>
      </c>
      <c r="F35" s="173" t="s">
        <v>14</v>
      </c>
      <c r="G35" s="105" t="str">
        <f>G6</f>
        <v>C4</v>
      </c>
      <c r="H35" s="182"/>
      <c r="I35" s="173" t="s">
        <v>15</v>
      </c>
      <c r="J35" s="191"/>
    </row>
    <row r="36" spans="1:10" s="100" customFormat="1" ht="18.75" customHeight="1">
      <c r="A36" s="174">
        <f>A35</f>
        <v>0.6041666666666666</v>
      </c>
      <c r="B36" s="175">
        <v>36</v>
      </c>
      <c r="C36" s="176" t="s">
        <v>77</v>
      </c>
      <c r="D36" s="186" t="s">
        <v>132</v>
      </c>
      <c r="E36" s="177" t="str">
        <f>G12</f>
        <v>A4</v>
      </c>
      <c r="F36" s="178" t="s">
        <v>14</v>
      </c>
      <c r="G36" s="179" t="str">
        <f>G16</f>
        <v>C3</v>
      </c>
      <c r="H36" s="192"/>
      <c r="I36" s="178" t="s">
        <v>15</v>
      </c>
      <c r="J36" s="193"/>
    </row>
    <row r="37" spans="1:10" s="100" customFormat="1" ht="18.75" customHeight="1">
      <c r="A37" s="162">
        <f>A36+Vorgaben!$D$3+Vorgaben!$D$5</f>
        <v>0.611111111111111</v>
      </c>
      <c r="B37" s="163">
        <v>40</v>
      </c>
      <c r="C37" s="164" t="s">
        <v>77</v>
      </c>
      <c r="D37" s="184" t="s">
        <v>130</v>
      </c>
      <c r="E37" s="166" t="str">
        <f>G14</f>
        <v>B4</v>
      </c>
      <c r="F37" s="167" t="s">
        <v>14</v>
      </c>
      <c r="G37" s="168" t="str">
        <f>G18</f>
        <v>D3</v>
      </c>
      <c r="H37" s="189"/>
      <c r="I37" s="167" t="s">
        <v>15</v>
      </c>
      <c r="J37" s="190"/>
    </row>
    <row r="38" spans="1:10" s="100" customFormat="1" ht="18.75" customHeight="1">
      <c r="A38" s="169">
        <f>A37</f>
        <v>0.611111111111111</v>
      </c>
      <c r="B38" s="140">
        <v>41</v>
      </c>
      <c r="C38" s="170" t="s">
        <v>74</v>
      </c>
      <c r="D38" s="185" t="s">
        <v>131</v>
      </c>
      <c r="E38" s="172" t="str">
        <f>A8</f>
        <v>D2</v>
      </c>
      <c r="F38" s="173" t="s">
        <v>14</v>
      </c>
      <c r="G38" s="105" t="str">
        <f>A2</f>
        <v>A1</v>
      </c>
      <c r="H38" s="182"/>
      <c r="I38" s="173" t="s">
        <v>15</v>
      </c>
      <c r="J38" s="191"/>
    </row>
    <row r="39" spans="1:10" s="100" customFormat="1" ht="18.75" customHeight="1">
      <c r="A39" s="174">
        <f>A38</f>
        <v>0.611111111111111</v>
      </c>
      <c r="B39" s="175">
        <v>45</v>
      </c>
      <c r="C39" s="176" t="s">
        <v>74</v>
      </c>
      <c r="D39" s="186" t="s">
        <v>132</v>
      </c>
      <c r="E39" s="177" t="str">
        <f>A4</f>
        <v>B1</v>
      </c>
      <c r="F39" s="178" t="s">
        <v>14</v>
      </c>
      <c r="G39" s="179" t="str">
        <f>A6</f>
        <v>C2</v>
      </c>
      <c r="H39" s="192"/>
      <c r="I39" s="178" t="s">
        <v>15</v>
      </c>
      <c r="J39" s="193"/>
    </row>
    <row r="40" spans="1:10" s="100" customFormat="1" ht="18.75" customHeight="1">
      <c r="A40" s="162">
        <f>A39+Vorgaben!$D$3+Vorgaben!$D$5</f>
        <v>0.6180555555555555</v>
      </c>
      <c r="B40" s="163">
        <v>42</v>
      </c>
      <c r="C40" s="164" t="s">
        <v>75</v>
      </c>
      <c r="D40" s="184" t="s">
        <v>130</v>
      </c>
      <c r="E40" s="166" t="str">
        <f>A18</f>
        <v>D1</v>
      </c>
      <c r="F40" s="167" t="s">
        <v>14</v>
      </c>
      <c r="G40" s="168" t="str">
        <f>A12</f>
        <v>A2</v>
      </c>
      <c r="H40" s="189"/>
      <c r="I40" s="167" t="s">
        <v>15</v>
      </c>
      <c r="J40" s="190"/>
    </row>
    <row r="41" spans="1:10" s="100" customFormat="1" ht="18.75" customHeight="1">
      <c r="A41" s="169">
        <f>A40</f>
        <v>0.6180555555555555</v>
      </c>
      <c r="B41" s="140">
        <v>46</v>
      </c>
      <c r="C41" s="170" t="s">
        <v>75</v>
      </c>
      <c r="D41" s="185" t="s">
        <v>131</v>
      </c>
      <c r="E41" s="172" t="str">
        <f>A14</f>
        <v>B2</v>
      </c>
      <c r="F41" s="173" t="s">
        <v>14</v>
      </c>
      <c r="G41" s="105" t="str">
        <f>A16</f>
        <v>C1</v>
      </c>
      <c r="H41" s="182"/>
      <c r="I41" s="173" t="s">
        <v>15</v>
      </c>
      <c r="J41" s="191"/>
    </row>
    <row r="42" spans="1:10" s="100" customFormat="1" ht="18.75" customHeight="1">
      <c r="A42" s="174">
        <f>A41</f>
        <v>0.6180555555555555</v>
      </c>
      <c r="B42" s="175">
        <v>43</v>
      </c>
      <c r="C42" s="176" t="s">
        <v>76</v>
      </c>
      <c r="D42" s="186" t="s">
        <v>132</v>
      </c>
      <c r="E42" s="177" t="str">
        <f>G8</f>
        <v>D4</v>
      </c>
      <c r="F42" s="178" t="s">
        <v>14</v>
      </c>
      <c r="G42" s="179" t="str">
        <f>G2</f>
        <v>A3</v>
      </c>
      <c r="H42" s="192"/>
      <c r="I42" s="178" t="s">
        <v>15</v>
      </c>
      <c r="J42" s="193"/>
    </row>
    <row r="43" spans="1:10" s="100" customFormat="1" ht="18.75" customHeight="1">
      <c r="A43" s="162">
        <f>A42+Vorgaben!$D$3+Vorgaben!$D$5</f>
        <v>0.6249999999999999</v>
      </c>
      <c r="B43" s="163">
        <v>47</v>
      </c>
      <c r="C43" s="164" t="s">
        <v>76</v>
      </c>
      <c r="D43" s="184" t="s">
        <v>130</v>
      </c>
      <c r="E43" s="166" t="str">
        <f>G4</f>
        <v>B3</v>
      </c>
      <c r="F43" s="167" t="s">
        <v>14</v>
      </c>
      <c r="G43" s="168" t="str">
        <f>G8</f>
        <v>D4</v>
      </c>
      <c r="H43" s="189"/>
      <c r="I43" s="167" t="s">
        <v>15</v>
      </c>
      <c r="J43" s="190"/>
    </row>
    <row r="44" spans="1:10" s="100" customFormat="1" ht="18.75" customHeight="1">
      <c r="A44" s="169">
        <f>A43</f>
        <v>0.6249999999999999</v>
      </c>
      <c r="B44" s="140">
        <v>44</v>
      </c>
      <c r="C44" s="170" t="s">
        <v>77</v>
      </c>
      <c r="D44" s="185" t="s">
        <v>131</v>
      </c>
      <c r="E44" s="172" t="str">
        <f>G18</f>
        <v>D3</v>
      </c>
      <c r="F44" s="173" t="s">
        <v>14</v>
      </c>
      <c r="G44" s="105" t="str">
        <f>G12</f>
        <v>A4</v>
      </c>
      <c r="H44" s="182"/>
      <c r="I44" s="173" t="s">
        <v>15</v>
      </c>
      <c r="J44" s="191"/>
    </row>
    <row r="45" spans="1:10" s="100" customFormat="1" ht="18.75" customHeight="1">
      <c r="A45" s="174">
        <f>A44</f>
        <v>0.6249999999999999</v>
      </c>
      <c r="B45" s="175">
        <v>48</v>
      </c>
      <c r="C45" s="176" t="s">
        <v>77</v>
      </c>
      <c r="D45" s="186" t="s">
        <v>132</v>
      </c>
      <c r="E45" s="177" t="str">
        <f>G14</f>
        <v>B4</v>
      </c>
      <c r="F45" s="178" t="s">
        <v>14</v>
      </c>
      <c r="G45" s="179" t="str">
        <f>G16</f>
        <v>C3</v>
      </c>
      <c r="H45" s="192"/>
      <c r="I45" s="178" t="s">
        <v>15</v>
      </c>
      <c r="J45" s="193"/>
    </row>
    <row r="46" spans="1:10" ht="25.5" customHeight="1">
      <c r="A46" s="227" t="s">
        <v>133</v>
      </c>
      <c r="B46" s="227"/>
      <c r="C46" s="227"/>
      <c r="D46" s="227"/>
      <c r="E46" s="227"/>
      <c r="F46" s="227"/>
      <c r="G46" s="227"/>
      <c r="H46" s="227"/>
      <c r="I46" s="227"/>
      <c r="J46" s="227"/>
    </row>
    <row r="47" spans="1:10" s="60" customFormat="1" ht="15" customHeight="1">
      <c r="A47" s="60" t="s">
        <v>8</v>
      </c>
      <c r="B47" s="223" t="s">
        <v>9</v>
      </c>
      <c r="C47" s="223"/>
      <c r="D47" s="223"/>
      <c r="E47" s="224"/>
      <c r="F47" s="224"/>
      <c r="G47" s="224"/>
      <c r="H47" s="62" t="s">
        <v>12</v>
      </c>
      <c r="I47" s="63"/>
      <c r="J47" s="63"/>
    </row>
    <row r="48" spans="1:10" s="100" customFormat="1" ht="15.75" customHeight="1">
      <c r="A48" s="135">
        <f>A45+(Vorgaben!$D$3+Vorgaben!$D$9)</f>
        <v>0.6388888888888887</v>
      </c>
      <c r="B48" s="136">
        <v>49</v>
      </c>
      <c r="C48" s="194" t="s">
        <v>130</v>
      </c>
      <c r="D48" s="157"/>
      <c r="E48" s="143" t="str">
        <f>IF(Rechnen2!$X$3=6,'Gruppen-Tabellen2'!B3,"E1")</f>
        <v>E1</v>
      </c>
      <c r="F48" s="137" t="s">
        <v>15</v>
      </c>
      <c r="G48" s="144" t="str">
        <f>IF(Rechnen2!$W$3=6,'Gruppen-Tabellen2'!B10,"F2")</f>
        <v>F2</v>
      </c>
      <c r="H48" s="98"/>
      <c r="I48" s="137" t="s">
        <v>15</v>
      </c>
      <c r="J48" s="99"/>
    </row>
    <row r="49" spans="1:12" s="130" customFormat="1" ht="15.75" customHeight="1">
      <c r="A49" s="131"/>
      <c r="B49" s="132"/>
      <c r="C49" s="133"/>
      <c r="D49" s="133"/>
      <c r="E49" s="118" t="s">
        <v>99</v>
      </c>
      <c r="F49" s="118"/>
      <c r="G49" s="134" t="s">
        <v>137</v>
      </c>
      <c r="H49" s="231"/>
      <c r="I49" s="231"/>
      <c r="J49" s="231"/>
      <c r="L49" s="129"/>
    </row>
    <row r="50" spans="1:10" s="100" customFormat="1" ht="15.75" customHeight="1">
      <c r="A50" s="135">
        <f>A48</f>
        <v>0.6388888888888887</v>
      </c>
      <c r="B50" s="136">
        <f>B48+1</f>
        <v>50</v>
      </c>
      <c r="C50" s="194" t="s">
        <v>131</v>
      </c>
      <c r="D50" s="181"/>
      <c r="E50" s="143" t="str">
        <f>IF(Rechnen2!$X$3=6,'Gruppen-Tabellen2'!B4,"E2")</f>
        <v>E2</v>
      </c>
      <c r="F50" s="137" t="s">
        <v>15</v>
      </c>
      <c r="G50" s="144" t="str">
        <f>IF(Rechnen2!$W$3=6,'Gruppen-Tabellen2'!B9,"F1")</f>
        <v>F1</v>
      </c>
      <c r="H50" s="98"/>
      <c r="I50" s="137" t="s">
        <v>15</v>
      </c>
      <c r="J50" s="99"/>
    </row>
    <row r="51" spans="1:12" s="130" customFormat="1" ht="15" customHeight="1">
      <c r="A51" s="125"/>
      <c r="B51" s="126"/>
      <c r="C51" s="127"/>
      <c r="D51" s="127"/>
      <c r="E51" s="128" t="s">
        <v>93</v>
      </c>
      <c r="F51" s="128"/>
      <c r="G51" s="129" t="s">
        <v>100</v>
      </c>
      <c r="H51" s="216"/>
      <c r="I51" s="216"/>
      <c r="J51" s="216"/>
      <c r="L51" s="129"/>
    </row>
    <row r="52" spans="1:10" s="100" customFormat="1" ht="15.75" customHeight="1" hidden="1">
      <c r="A52" s="135">
        <f>A50+Vorgaben!$D$9+Vorgaben!$D$5</f>
        <v>0.6486111111111109</v>
      </c>
      <c r="B52" s="136">
        <f>B50+1</f>
        <v>51</v>
      </c>
      <c r="C52" s="222" t="s">
        <v>87</v>
      </c>
      <c r="D52" s="222"/>
      <c r="E52" s="143" t="str">
        <f>IF(Rechnen2!$V$3=6,'Gruppen-Tabellen2'!B5,"E3")</f>
        <v>E3</v>
      </c>
      <c r="F52" s="137" t="s">
        <v>15</v>
      </c>
      <c r="G52" s="149" t="str">
        <f>IF(OR(H48="",J48=""),"Winner V (Spiel 49)",IF(H48&gt;J48,E48,IF(H48&lt;=J48,G48)))</f>
        <v>Winner V (Spiel 49)</v>
      </c>
      <c r="H52" s="98"/>
      <c r="I52" s="97" t="s">
        <v>15</v>
      </c>
      <c r="J52" s="99"/>
    </row>
    <row r="53" spans="1:12" s="130" customFormat="1" ht="15" customHeight="1" hidden="1">
      <c r="A53" s="125"/>
      <c r="B53" s="126"/>
      <c r="C53" s="127"/>
      <c r="D53" s="127"/>
      <c r="E53" s="128" t="s">
        <v>78</v>
      </c>
      <c r="F53" s="128"/>
      <c r="G53" s="129" t="s">
        <v>79</v>
      </c>
      <c r="H53" s="216"/>
      <c r="I53" s="216"/>
      <c r="J53" s="216"/>
      <c r="L53" s="129"/>
    </row>
    <row r="54" spans="1:10" s="100" customFormat="1" ht="15.75" customHeight="1" hidden="1">
      <c r="A54" s="135">
        <f>A52+Vorgaben!$D$9+Vorgaben!$D$5</f>
        <v>0.6583333333333331</v>
      </c>
      <c r="B54" s="136">
        <f>B52+1</f>
        <v>52</v>
      </c>
      <c r="C54" s="222" t="s">
        <v>88</v>
      </c>
      <c r="D54" s="222"/>
      <c r="E54" s="143" t="str">
        <f>IF(Rechnen2!$W$3=6,'Gruppen-Tabellen2'!B11,"F3")</f>
        <v>F3</v>
      </c>
      <c r="F54" s="137" t="s">
        <v>15</v>
      </c>
      <c r="G54" s="149" t="str">
        <f>IF(OR(H50="",J50=""),"Winner W (Spiel 50)",IF(H50&gt;J50,E50,IF(H50&lt;=J50,G50)))</f>
        <v>Winner W (Spiel 50)</v>
      </c>
      <c r="H54" s="98"/>
      <c r="I54" s="97" t="s">
        <v>15</v>
      </c>
      <c r="J54" s="99"/>
    </row>
    <row r="55" spans="1:12" s="130" customFormat="1" ht="16.5" customHeight="1" hidden="1">
      <c r="A55" s="125"/>
      <c r="B55" s="141"/>
      <c r="C55" s="142"/>
      <c r="D55" s="142"/>
      <c r="E55" s="128" t="s">
        <v>80</v>
      </c>
      <c r="F55" s="128"/>
      <c r="G55" s="129" t="s">
        <v>89</v>
      </c>
      <c r="H55" s="216"/>
      <c r="I55" s="216"/>
      <c r="J55" s="216"/>
      <c r="L55" s="129"/>
    </row>
    <row r="56" spans="1:10" s="100" customFormat="1" ht="15.75" customHeight="1" hidden="1">
      <c r="A56" s="147">
        <f>A54+Vorgaben!$D$9+Vorgaben!$D$5</f>
        <v>0.6680555555555553</v>
      </c>
      <c r="B56" s="220" t="s">
        <v>81</v>
      </c>
      <c r="C56" s="221"/>
      <c r="D56" s="221"/>
      <c r="E56" s="145" t="str">
        <f>IF(Rechnen2!$X$3=6,'Gruppen-Tabellen2'!B18,"G4")</f>
        <v>G4</v>
      </c>
      <c r="F56" s="97" t="s">
        <v>15</v>
      </c>
      <c r="G56" s="146" t="str">
        <f>IF(Rechnen2!$Y$3=6,'Gruppen-Tabellen2'!B24,"H4")</f>
        <v>H4</v>
      </c>
      <c r="H56" s="98"/>
      <c r="I56" s="97" t="s">
        <v>15</v>
      </c>
      <c r="J56" s="99"/>
    </row>
    <row r="57" spans="1:12" s="130" customFormat="1" ht="12" customHeight="1" hidden="1">
      <c r="A57" s="125"/>
      <c r="B57" s="140">
        <f>B54+1</f>
        <v>53</v>
      </c>
      <c r="C57" s="142"/>
      <c r="D57" s="142"/>
      <c r="E57" s="128" t="s">
        <v>82</v>
      </c>
      <c r="F57" s="128"/>
      <c r="G57" s="129" t="s">
        <v>83</v>
      </c>
      <c r="H57" s="216"/>
      <c r="I57" s="216"/>
      <c r="J57" s="216"/>
      <c r="L57" s="129"/>
    </row>
    <row r="58" spans="1:10" s="100" customFormat="1" ht="15.75" customHeight="1" hidden="1">
      <c r="A58" s="95">
        <f>A56+Vorgaben!$D$9+Vorgaben!$D$5</f>
        <v>0.6777777777777775</v>
      </c>
      <c r="B58" s="220" t="s">
        <v>84</v>
      </c>
      <c r="C58" s="221"/>
      <c r="D58" s="221"/>
      <c r="E58" s="145" t="str">
        <f>IF(Rechnen2!$X$3=6,'Gruppen-Tabellen2'!B17,"G3")</f>
        <v>G3</v>
      </c>
      <c r="F58" s="97" t="s">
        <v>15</v>
      </c>
      <c r="G58" s="146" t="str">
        <f>IF(Rechnen2!$Y$3=6,'Gruppen-Tabellen2'!B23,"H3")</f>
        <v>H3</v>
      </c>
      <c r="H58" s="98"/>
      <c r="I58" s="97" t="s">
        <v>15</v>
      </c>
      <c r="J58" s="99"/>
    </row>
    <row r="59" spans="1:12" s="130" customFormat="1" ht="16.5" customHeight="1" hidden="1">
      <c r="A59" s="125"/>
      <c r="B59" s="140">
        <f>B57+1</f>
        <v>54</v>
      </c>
      <c r="C59" s="142"/>
      <c r="D59" s="142"/>
      <c r="E59" s="128" t="s">
        <v>85</v>
      </c>
      <c r="F59" s="128"/>
      <c r="G59" s="129" t="s">
        <v>86</v>
      </c>
      <c r="H59" s="216"/>
      <c r="I59" s="216"/>
      <c r="J59" s="216"/>
      <c r="L59" s="129"/>
    </row>
    <row r="60" spans="1:10" s="100" customFormat="1" ht="15.75" customHeight="1" hidden="1">
      <c r="A60" s="135">
        <f>A58+Vorgaben!$D$9+Vorgaben!$D$5</f>
        <v>0.6874999999999997</v>
      </c>
      <c r="B60" s="136">
        <f>B59+1</f>
        <v>55</v>
      </c>
      <c r="C60" s="222" t="s">
        <v>94</v>
      </c>
      <c r="D60" s="222"/>
      <c r="E60" s="150" t="str">
        <f>IF(OR(H52="",J52=""),"Winner X (Spiel 51)",IF(H52&gt;J52,E52,IF(H52&lt;=J52,G52)))</f>
        <v>Winner X (Spiel 51)</v>
      </c>
      <c r="F60" s="137" t="s">
        <v>15</v>
      </c>
      <c r="G60" s="144" t="str">
        <f>IF(Rechnen2!$V$3=6,'Gruppen-Tabellen2'!B4,"E2")</f>
        <v>E2</v>
      </c>
      <c r="H60" s="98"/>
      <c r="I60" s="97" t="s">
        <v>15</v>
      </c>
      <c r="J60" s="99"/>
    </row>
    <row r="61" spans="1:12" s="130" customFormat="1" ht="15" customHeight="1" hidden="1">
      <c r="A61" s="125"/>
      <c r="B61" s="126"/>
      <c r="C61" s="127"/>
      <c r="D61" s="127"/>
      <c r="E61" s="128" t="s">
        <v>104</v>
      </c>
      <c r="F61" s="128"/>
      <c r="G61" s="129" t="s">
        <v>93</v>
      </c>
      <c r="H61" s="216"/>
      <c r="I61" s="216"/>
      <c r="J61" s="216"/>
      <c r="L61" s="129"/>
    </row>
    <row r="62" spans="1:10" s="100" customFormat="1" ht="15.75" customHeight="1" hidden="1">
      <c r="A62" s="135">
        <f>A60+Vorgaben!$D$9+Vorgaben!$D$5</f>
        <v>0.6972222222222219</v>
      </c>
      <c r="B62" s="136">
        <f>B60+1</f>
        <v>56</v>
      </c>
      <c r="C62" s="222" t="s">
        <v>96</v>
      </c>
      <c r="D62" s="222"/>
      <c r="E62" s="150" t="str">
        <f>IF(OR(H54="",J54=""),"Winner Y (Spiel 52)",IF(H54&gt;J54,E54,IF(H54&lt;=J54,G54)))</f>
        <v>Winner Y (Spiel 52)</v>
      </c>
      <c r="F62" s="137" t="s">
        <v>15</v>
      </c>
      <c r="G62" s="144" t="str">
        <f>IF(Rechnen2!$W$3=6,'Gruppen-Tabellen2'!B10,"F2")</f>
        <v>F2</v>
      </c>
      <c r="H62" s="98"/>
      <c r="I62" s="97" t="s">
        <v>15</v>
      </c>
      <c r="J62" s="99"/>
    </row>
    <row r="63" spans="1:12" s="130" customFormat="1" ht="15.75" customHeight="1" hidden="1">
      <c r="A63" s="125"/>
      <c r="B63" s="126"/>
      <c r="C63" s="127"/>
      <c r="D63" s="127"/>
      <c r="E63" s="128" t="s">
        <v>95</v>
      </c>
      <c r="F63" s="128"/>
      <c r="G63" s="129" t="s">
        <v>48</v>
      </c>
      <c r="H63" s="216"/>
      <c r="I63" s="216"/>
      <c r="J63" s="216"/>
      <c r="L63" s="129"/>
    </row>
    <row r="64" spans="1:10" s="100" customFormat="1" ht="15.75" customHeight="1" hidden="1">
      <c r="A64" s="95">
        <f>A62+Vorgaben!$D$9+Vorgaben!$D$5</f>
        <v>0.706944444444444</v>
      </c>
      <c r="B64" s="220" t="s">
        <v>90</v>
      </c>
      <c r="C64" s="221"/>
      <c r="D64" s="221"/>
      <c r="E64" s="145" t="str">
        <f>IF(Rechnen2!$X$3=6,'Gruppen-Tabellen2'!B16,"G2")</f>
        <v>G2</v>
      </c>
      <c r="F64" s="97" t="s">
        <v>15</v>
      </c>
      <c r="G64" s="146" t="str">
        <f>IF(Rechnen2!$Y$3=6,'Gruppen-Tabellen2'!B22,"H2")</f>
        <v>H2</v>
      </c>
      <c r="H64" s="98"/>
      <c r="I64" s="97" t="s">
        <v>15</v>
      </c>
      <c r="J64" s="99"/>
    </row>
    <row r="65" spans="1:12" s="130" customFormat="1" ht="12" customHeight="1" hidden="1">
      <c r="A65" s="125"/>
      <c r="B65" s="140">
        <f>B62+1</f>
        <v>57</v>
      </c>
      <c r="C65" s="142"/>
      <c r="D65" s="142"/>
      <c r="E65" s="128" t="s">
        <v>91</v>
      </c>
      <c r="F65" s="128"/>
      <c r="G65" s="129" t="s">
        <v>92</v>
      </c>
      <c r="H65" s="216"/>
      <c r="I65" s="216"/>
      <c r="J65" s="216"/>
      <c r="L65" s="129"/>
    </row>
    <row r="66" spans="1:10" ht="25.5" customHeight="1">
      <c r="A66" s="227" t="s">
        <v>134</v>
      </c>
      <c r="B66" s="227"/>
      <c r="C66" s="227"/>
      <c r="D66" s="227"/>
      <c r="E66" s="227"/>
      <c r="F66" s="227"/>
      <c r="G66" s="227"/>
      <c r="H66" s="227"/>
      <c r="I66" s="227"/>
      <c r="J66" s="227"/>
    </row>
    <row r="67" spans="1:10" s="100" customFormat="1" ht="15.75" customHeight="1">
      <c r="A67" s="135">
        <f>A48+(Vorgaben!$D$3+Vorgaben!$D$9)</f>
        <v>0.6527777777777776</v>
      </c>
      <c r="B67" s="194">
        <v>51</v>
      </c>
      <c r="C67" s="195" t="s">
        <v>131</v>
      </c>
      <c r="D67" s="196"/>
      <c r="E67" s="197" t="str">
        <f>IF(OR(H48="",J48=""),"Verlierer (Spiel 48)",IF(H48&lt;J48,E48,IF(H48&gt;=J48,G48)))</f>
        <v>Verlierer (Spiel 48)</v>
      </c>
      <c r="F67" s="137" t="s">
        <v>15</v>
      </c>
      <c r="G67" s="180" t="str">
        <f>IF(OR(H50="",J50=""),"Verlierer (Spiel 50)",IF(H50&lt;J50,E50,IF(H50&gt;=J50,G50)))</f>
        <v>Verlierer (Spiel 50)</v>
      </c>
      <c r="H67" s="98"/>
      <c r="I67" s="137" t="s">
        <v>15</v>
      </c>
      <c r="J67" s="99"/>
    </row>
    <row r="68" spans="1:12" s="130" customFormat="1" ht="16.5" customHeight="1">
      <c r="A68" s="125"/>
      <c r="B68" s="140"/>
      <c r="C68" s="142"/>
      <c r="D68" s="142"/>
      <c r="E68" s="128" t="s">
        <v>139</v>
      </c>
      <c r="F68" s="128"/>
      <c r="G68" s="187" t="s">
        <v>138</v>
      </c>
      <c r="H68" s="216"/>
      <c r="I68" s="216"/>
      <c r="J68" s="216"/>
      <c r="L68" s="129"/>
    </row>
    <row r="69" spans="1:10" s="100" customFormat="1" ht="15.75" customHeight="1" hidden="1">
      <c r="A69" s="135">
        <f>A67+Vorgaben!$D$9+Vorgaben!$D$5</f>
        <v>0.6624999999999998</v>
      </c>
      <c r="B69" s="136">
        <f>B68+1</f>
        <v>1</v>
      </c>
      <c r="C69" s="226" t="s">
        <v>101</v>
      </c>
      <c r="D69" s="226"/>
      <c r="E69" s="150" t="str">
        <f>IF(OR(H60="",J60=""),"Winner A (Spiel 55)",IF(H60&gt;J60,E60,IF(H60&lt;=J60,G60)))</f>
        <v>Winner A (Spiel 55)</v>
      </c>
      <c r="F69" s="137" t="s">
        <v>15</v>
      </c>
      <c r="G69" s="144" t="str">
        <f>IF(Rechnen2!$V$3=6,'Gruppen-Tabellen2'!B3,"E1")</f>
        <v>E1</v>
      </c>
      <c r="H69" s="98"/>
      <c r="I69" s="97" t="s">
        <v>15</v>
      </c>
      <c r="J69" s="99"/>
    </row>
    <row r="70" spans="1:12" s="130" customFormat="1" ht="16.5" customHeight="1" hidden="1">
      <c r="A70" s="125"/>
      <c r="B70" s="138"/>
      <c r="C70" s="139"/>
      <c r="D70" s="139"/>
      <c r="E70" s="128" t="s">
        <v>97</v>
      </c>
      <c r="F70" s="128"/>
      <c r="G70" s="187" t="s">
        <v>99</v>
      </c>
      <c r="H70" s="216"/>
      <c r="I70" s="216"/>
      <c r="J70" s="216"/>
      <c r="L70" s="129"/>
    </row>
    <row r="71" spans="1:10" s="100" customFormat="1" ht="15.75" customHeight="1" hidden="1">
      <c r="A71" s="135">
        <f>A50+Vorgaben!$D$9+Vorgaben!$D$5</f>
        <v>0.6486111111111109</v>
      </c>
      <c r="B71" s="136">
        <f>B50+1</f>
        <v>51</v>
      </c>
      <c r="C71" s="222" t="s">
        <v>102</v>
      </c>
      <c r="D71" s="222"/>
      <c r="E71" s="150" t="str">
        <f>IF(OR(H62="",J62=""),"Winner A (Spiel 56)",IF(H62&gt;J62,E62,IF(H62&lt;=J62,G62)))</f>
        <v>Winner A (Spiel 56)</v>
      </c>
      <c r="F71" s="137" t="s">
        <v>15</v>
      </c>
      <c r="G71" s="144" t="str">
        <f>IF(Rechnen2!$W$3=6,'Gruppen-Tabellen2'!B9,"F1")</f>
        <v>F1</v>
      </c>
      <c r="H71" s="98"/>
      <c r="I71" s="97" t="s">
        <v>15</v>
      </c>
      <c r="J71" s="99"/>
    </row>
    <row r="72" spans="1:12" s="130" customFormat="1" ht="15.75" customHeight="1" hidden="1">
      <c r="A72" s="131"/>
      <c r="B72" s="126"/>
      <c r="C72" s="127"/>
      <c r="D72" s="127"/>
      <c r="E72" s="128" t="s">
        <v>98</v>
      </c>
      <c r="F72" s="128"/>
      <c r="G72" s="129" t="s">
        <v>100</v>
      </c>
      <c r="H72" s="216"/>
      <c r="I72" s="216"/>
      <c r="J72" s="216"/>
      <c r="L72" s="129"/>
    </row>
    <row r="73" spans="1:10" s="100" customFormat="1" ht="15.75" customHeight="1" hidden="1">
      <c r="A73" s="147">
        <f>A71+Vorgaben!$D$9+Vorgaben!$D$5</f>
        <v>0.6583333333333331</v>
      </c>
      <c r="B73" s="220" t="s">
        <v>106</v>
      </c>
      <c r="C73" s="225"/>
      <c r="D73" s="225"/>
      <c r="E73" s="151" t="str">
        <f>IF(OR(H52="",J52=""),"Verlierer X (Spiel 51)",IF(H52&lt;J52,E52,IF(H52&gt;=J52,G52)))</f>
        <v>Verlierer X (Spiel 51)</v>
      </c>
      <c r="F73" s="153" t="s">
        <v>15</v>
      </c>
      <c r="G73" s="152" t="str">
        <f>IF(OR(H54="",J54=""),"Verlierer Y (Spiel 52)",IF(H54&lt;J54,E54,IF(H54&gt;=J54,G54)))</f>
        <v>Verlierer Y (Spiel 52)</v>
      </c>
      <c r="H73" s="98"/>
      <c r="I73" s="97" t="s">
        <v>15</v>
      </c>
      <c r="J73" s="99"/>
    </row>
    <row r="74" spans="1:12" s="130" customFormat="1" ht="12" customHeight="1" hidden="1">
      <c r="A74" s="131"/>
      <c r="B74" s="140">
        <f>B71+1</f>
        <v>52</v>
      </c>
      <c r="C74" s="142"/>
      <c r="D74" s="142"/>
      <c r="E74" s="154" t="s">
        <v>103</v>
      </c>
      <c r="F74" s="154"/>
      <c r="G74" s="155" t="s">
        <v>105</v>
      </c>
      <c r="H74" s="216"/>
      <c r="I74" s="216"/>
      <c r="J74" s="216"/>
      <c r="L74" s="129"/>
    </row>
    <row r="75" spans="1:10" s="100" customFormat="1" ht="15.75" customHeight="1" hidden="1">
      <c r="A75" s="147">
        <f>A73+Vorgaben!$D$9+Vorgaben!$D$5</f>
        <v>0.6680555555555553</v>
      </c>
      <c r="B75" s="220" t="s">
        <v>107</v>
      </c>
      <c r="C75" s="221"/>
      <c r="D75" s="221"/>
      <c r="E75" s="151" t="str">
        <f>IF(OR(H60="",J60=""),"Verlierer A (Spiel 55)",IF(H60&lt;J60,E60,IF(H60&gt;=J60,G60)))</f>
        <v>Verlierer A (Spiel 55)</v>
      </c>
      <c r="F75" s="153" t="s">
        <v>15</v>
      </c>
      <c r="G75" s="152" t="str">
        <f>IF(OR(H62="",J62=""),"Verlierer B (Spiel 56)",IF(H62&lt;J62,E62,IF(H62&gt;=J62,G62)))</f>
        <v>Verlierer B (Spiel 56)</v>
      </c>
      <c r="H75" s="98"/>
      <c r="I75" s="97" t="s">
        <v>15</v>
      </c>
      <c r="J75" s="99"/>
    </row>
    <row r="76" spans="1:12" s="130" customFormat="1" ht="12" customHeight="1" hidden="1">
      <c r="A76" s="131"/>
      <c r="B76" s="140">
        <f>B74+1</f>
        <v>53</v>
      </c>
      <c r="C76" s="142"/>
      <c r="D76" s="142"/>
      <c r="E76" s="154" t="s">
        <v>111</v>
      </c>
      <c r="F76" s="154"/>
      <c r="G76" s="155" t="s">
        <v>112</v>
      </c>
      <c r="H76" s="216"/>
      <c r="I76" s="216"/>
      <c r="J76" s="216"/>
      <c r="L76" s="129"/>
    </row>
    <row r="77" spans="1:10" s="100" customFormat="1" ht="15.75" customHeight="1" hidden="1">
      <c r="A77" s="147">
        <f>A75+Vorgaben!$D$9+Vorgaben!$D$5</f>
        <v>0.6777777777777775</v>
      </c>
      <c r="B77" s="220" t="s">
        <v>108</v>
      </c>
      <c r="C77" s="221"/>
      <c r="D77" s="221"/>
      <c r="E77" s="151" t="str">
        <f>IF(OR(H50="",J50=""),"Verlierer C (Spiel 59)",IF(H50&lt;J50,E50,IF(H50&gt;=J50,G50)))</f>
        <v>Verlierer C (Spiel 59)</v>
      </c>
      <c r="F77" s="153" t="s">
        <v>15</v>
      </c>
      <c r="G77" s="152" t="str">
        <f>IF(OR(H71="",J71=""),"Verlierer D (Spiel 60)",IF(H71&lt;J71,E71,IF(H71&gt;=J71,G71)))</f>
        <v>Verlierer D (Spiel 60)</v>
      </c>
      <c r="H77" s="98"/>
      <c r="I77" s="97" t="s">
        <v>15</v>
      </c>
      <c r="J77" s="99"/>
    </row>
    <row r="78" spans="1:12" s="130" customFormat="1" ht="12.75" hidden="1">
      <c r="A78" s="131"/>
      <c r="B78" s="140">
        <f>B76+1</f>
        <v>54</v>
      </c>
      <c r="C78" s="127"/>
      <c r="D78" s="127"/>
      <c r="E78" s="154" t="s">
        <v>109</v>
      </c>
      <c r="F78" s="154"/>
      <c r="G78" s="155" t="s">
        <v>110</v>
      </c>
      <c r="H78" s="216"/>
      <c r="I78" s="216"/>
      <c r="J78" s="216"/>
      <c r="L78" s="129"/>
    </row>
    <row r="79" spans="1:10" ht="25.5" customHeight="1">
      <c r="A79" s="227" t="s">
        <v>135</v>
      </c>
      <c r="B79" s="227"/>
      <c r="C79" s="227"/>
      <c r="D79" s="227"/>
      <c r="E79" s="227"/>
      <c r="F79" s="227"/>
      <c r="G79" s="227"/>
      <c r="H79" s="227"/>
      <c r="I79" s="227"/>
      <c r="J79" s="227"/>
    </row>
    <row r="80" spans="1:10" s="100" customFormat="1" ht="15.75" customHeight="1">
      <c r="A80" s="135">
        <f>A67</f>
        <v>0.6527777777777776</v>
      </c>
      <c r="B80" s="136">
        <v>52</v>
      </c>
      <c r="C80" s="198" t="s">
        <v>130</v>
      </c>
      <c r="D80" s="196"/>
      <c r="E80" s="197" t="str">
        <f>IF(OR(H48="",J48=""),"Sieger (Spiel 48)",IF(H48&gt;J48,E48,IF(H48&lt;=J48,G48)))</f>
        <v>Sieger (Spiel 48)</v>
      </c>
      <c r="F80" s="156" t="s">
        <v>15</v>
      </c>
      <c r="G80" s="149" t="str">
        <f>IF(OR(H50="",J50=""),"Sieger (Spiel 50)",IF(H50&gt;J50,E50,IF(H50&lt;=J50,G50)))</f>
        <v>Sieger (Spiel 50)</v>
      </c>
      <c r="H80" s="98"/>
      <c r="I80" s="97" t="s">
        <v>15</v>
      </c>
      <c r="J80" s="99"/>
    </row>
    <row r="81" spans="1:12" s="130" customFormat="1" ht="29.25" customHeight="1">
      <c r="A81" s="247" t="s">
        <v>136</v>
      </c>
      <c r="B81" s="247"/>
      <c r="C81" s="127"/>
      <c r="D81" s="127"/>
      <c r="E81" s="128" t="s">
        <v>140</v>
      </c>
      <c r="F81" s="128"/>
      <c r="G81" s="129" t="s">
        <v>141</v>
      </c>
      <c r="H81" s="216"/>
      <c r="I81" s="216"/>
      <c r="J81" s="216"/>
      <c r="L81" s="129"/>
    </row>
    <row r="82" spans="2:11" ht="15" customHeight="1" hidden="1">
      <c r="B82" s="90"/>
      <c r="E82" s="90"/>
      <c r="G82" s="90"/>
      <c r="I82" s="90"/>
      <c r="K82" s="96"/>
    </row>
    <row r="83" spans="2:11" ht="15" customHeight="1" hidden="1">
      <c r="B83" s="90"/>
      <c r="E83" s="90"/>
      <c r="G83" s="90"/>
      <c r="I83" s="90"/>
      <c r="K83" s="96"/>
    </row>
    <row r="84" spans="2:11" ht="15" customHeight="1" hidden="1">
      <c r="B84" s="90"/>
      <c r="E84" s="90"/>
      <c r="G84" s="90"/>
      <c r="I84" s="90"/>
      <c r="K84" s="96"/>
    </row>
    <row r="85" spans="2:11" ht="15" customHeight="1" hidden="1">
      <c r="B85" s="90"/>
      <c r="E85" s="90"/>
      <c r="G85" s="90"/>
      <c r="I85" s="90"/>
      <c r="K85" s="96"/>
    </row>
    <row r="86" spans="1:11" ht="15.75" customHeight="1">
      <c r="A86" s="90"/>
      <c r="B86" s="104" t="s">
        <v>55</v>
      </c>
      <c r="C86" s="217" t="str">
        <f>IF(OR(H80="",J80=""),"Sieger Endspiel",IF(H80&gt;J80,E80,IF(H80&lt;=J80,G80)))</f>
        <v>Sieger Endspiel</v>
      </c>
      <c r="D86" s="218"/>
      <c r="E86" s="218"/>
      <c r="F86" s="219"/>
      <c r="G86" s="105"/>
      <c r="K86" s="96"/>
    </row>
    <row r="87" spans="1:11" ht="15.75" customHeight="1">
      <c r="A87" s="90"/>
      <c r="B87" s="104" t="s">
        <v>56</v>
      </c>
      <c r="C87" s="217" t="str">
        <f>IF(OR(H80="",J80=""),"Verlierer Endspiel",IF(H80&lt;J80,E80,IF(H80&gt;=J80,G80)))</f>
        <v>Verlierer Endspiel</v>
      </c>
      <c r="D87" s="218"/>
      <c r="E87" s="218"/>
      <c r="F87" s="219"/>
      <c r="G87" s="105"/>
      <c r="K87" s="96"/>
    </row>
    <row r="88" spans="1:11" ht="15.75" customHeight="1">
      <c r="A88" s="90"/>
      <c r="B88" s="104" t="s">
        <v>57</v>
      </c>
      <c r="C88" s="217" t="str">
        <f>IF(OR(H67="",J67=""),"Sieger Spiel 63",IF(H67&gt;J67,E67,IF(H67&lt;=J67,G67)))</f>
        <v>Sieger Spiel 63</v>
      </c>
      <c r="D88" s="218"/>
      <c r="E88" s="218"/>
      <c r="F88" s="219"/>
      <c r="G88" s="105"/>
      <c r="K88" s="96"/>
    </row>
    <row r="89" spans="1:11" ht="15.75" customHeight="1">
      <c r="A89" s="90"/>
      <c r="B89" s="104" t="s">
        <v>58</v>
      </c>
      <c r="C89" s="217" t="str">
        <f>IF(OR(H67="",J67=""),"Verlierer Spiel 63",IF(H67&lt;J67,E67,IF(H67&gt;=J67,G67)))</f>
        <v>Verlierer Spiel 63</v>
      </c>
      <c r="D89" s="218"/>
      <c r="E89" s="218"/>
      <c r="F89" s="219"/>
      <c r="G89" s="105"/>
      <c r="K89" s="96"/>
    </row>
  </sheetData>
  <sheetProtection password="E760" sheet="1" objects="1" scenarios="1"/>
  <mergeCells count="74">
    <mergeCell ref="A79:J79"/>
    <mergeCell ref="A81:B81"/>
    <mergeCell ref="G18:H18"/>
    <mergeCell ref="G19:H19"/>
    <mergeCell ref="A9:D9"/>
    <mergeCell ref="A12:D12"/>
    <mergeCell ref="A13:D13"/>
    <mergeCell ref="G16:H16"/>
    <mergeCell ref="G12:H12"/>
    <mergeCell ref="G13:H13"/>
    <mergeCell ref="G14:H14"/>
    <mergeCell ref="G3:H3"/>
    <mergeCell ref="G4:H4"/>
    <mergeCell ref="G11:H11"/>
    <mergeCell ref="G6:H6"/>
    <mergeCell ref="G7:H7"/>
    <mergeCell ref="G8:H8"/>
    <mergeCell ref="G5:H5"/>
    <mergeCell ref="G9:H9"/>
    <mergeCell ref="G15:H15"/>
    <mergeCell ref="A19:D19"/>
    <mergeCell ref="A5:D5"/>
    <mergeCell ref="A6:D6"/>
    <mergeCell ref="A7:D7"/>
    <mergeCell ref="A8:D8"/>
    <mergeCell ref="A14:D14"/>
    <mergeCell ref="A15:D15"/>
    <mergeCell ref="A16:D16"/>
    <mergeCell ref="G17:H17"/>
    <mergeCell ref="A1:D1"/>
    <mergeCell ref="A2:D2"/>
    <mergeCell ref="A3:D3"/>
    <mergeCell ref="A4:D4"/>
    <mergeCell ref="A18:D18"/>
    <mergeCell ref="C89:F89"/>
    <mergeCell ref="C88:F88"/>
    <mergeCell ref="B56:D56"/>
    <mergeCell ref="C62:D62"/>
    <mergeCell ref="B75:D75"/>
    <mergeCell ref="B73:D73"/>
    <mergeCell ref="C69:D69"/>
    <mergeCell ref="A66:J66"/>
    <mergeCell ref="A17:D17"/>
    <mergeCell ref="C21:D21"/>
    <mergeCell ref="C52:D52"/>
    <mergeCell ref="C54:D54"/>
    <mergeCell ref="A46:J46"/>
    <mergeCell ref="H49:J49"/>
    <mergeCell ref="H51:J51"/>
    <mergeCell ref="H57:J57"/>
    <mergeCell ref="H53:J53"/>
    <mergeCell ref="H55:J55"/>
    <mergeCell ref="H59:J59"/>
    <mergeCell ref="B47:D47"/>
    <mergeCell ref="E47:G47"/>
    <mergeCell ref="B58:D58"/>
    <mergeCell ref="C60:D60"/>
    <mergeCell ref="H72:J72"/>
    <mergeCell ref="B64:D64"/>
    <mergeCell ref="H63:J63"/>
    <mergeCell ref="H70:J70"/>
    <mergeCell ref="C71:D71"/>
    <mergeCell ref="H68:J68"/>
    <mergeCell ref="H65:J65"/>
    <mergeCell ref="F1:H1"/>
    <mergeCell ref="G2:H2"/>
    <mergeCell ref="H81:J81"/>
    <mergeCell ref="C87:F87"/>
    <mergeCell ref="H76:J76"/>
    <mergeCell ref="H78:J78"/>
    <mergeCell ref="C86:F86"/>
    <mergeCell ref="B77:D77"/>
    <mergeCell ref="H74:J74"/>
    <mergeCell ref="H61:J61"/>
  </mergeCells>
  <printOptions/>
  <pageMargins left="0.5118110236220472" right="0.15748031496062992" top="1.21" bottom="0.58" header="0.47" footer="0.37"/>
  <pageSetup horizontalDpi="300" verticalDpi="300" orientation="portrait" paperSize="9" scale="95" r:id="rId3"/>
  <headerFooter alignWithMargins="0">
    <oddHeader>&amp;L&amp;G&amp;C&amp;"Arial,Fett"&amp;14&amp;EMinistranten-Turnier  Altersklasse II
Spielplan Zwischen- Endrunde
&amp;RSamstag, 06.12.2008
Stadionhalle Wiesloch</oddHeader>
    <oddFooter>&amp;R&amp;8Seite &amp;P von &amp;N</oddFooter>
  </headerFooter>
  <rowBreaks count="1" manualBreakCount="1">
    <brk id="45" max="255" man="1"/>
  </rowBreaks>
  <ignoredErrors>
    <ignoredError sqref="A25" formula="1"/>
  </ignoredErrors>
  <legacyDrawing r:id="rId1"/>
  <legacyDrawingHF r:id="rId2"/>
</worksheet>
</file>

<file path=xl/worksheets/sheet6.xml><?xml version="1.0" encoding="utf-8"?>
<worksheet xmlns="http://schemas.openxmlformats.org/spreadsheetml/2006/main" xmlns:r="http://schemas.openxmlformats.org/officeDocument/2006/relationships">
  <sheetPr codeName="Tabelle1"/>
  <dimension ref="A1:O24"/>
  <sheetViews>
    <sheetView showRowColHeaders="0"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48" t="s">
        <v>59</v>
      </c>
      <c r="C1" s="249"/>
      <c r="D1" s="249"/>
      <c r="E1" s="249"/>
      <c r="F1" s="249"/>
      <c r="G1" s="249"/>
      <c r="H1" s="249"/>
      <c r="I1" s="30"/>
      <c r="J1" s="30"/>
      <c r="K1" s="30"/>
      <c r="L1" s="30"/>
      <c r="M1" s="30"/>
      <c r="N1" s="30"/>
      <c r="O1" s="30"/>
    </row>
    <row r="2" spans="1:9" ht="30" customHeight="1">
      <c r="A2" s="31" t="s">
        <v>44</v>
      </c>
      <c r="B2" s="32" t="s">
        <v>0</v>
      </c>
      <c r="C2" s="33" t="s">
        <v>36</v>
      </c>
      <c r="D2" s="32" t="s">
        <v>1</v>
      </c>
      <c r="E2" s="250" t="s">
        <v>2</v>
      </c>
      <c r="F2" s="250"/>
      <c r="G2" s="250"/>
      <c r="H2" s="32" t="s">
        <v>37</v>
      </c>
      <c r="I2" s="34"/>
    </row>
    <row r="3" spans="1:9" ht="18" customHeight="1">
      <c r="A3" s="37">
        <f>IF(Rechnen!$V$3=0,"",1)</f>
      </c>
      <c r="B3" s="38" t="str">
        <f>Rechnen!K3</f>
        <v>KJG Burner</v>
      </c>
      <c r="C3" s="38">
        <f>IF(Rechnen!$V$3=0,"",Rechnen!L3)</f>
      </c>
      <c r="D3" s="38">
        <f>IF(Rechnen!$V$3=0,"",Rechnen!M3)</f>
      </c>
      <c r="E3" s="38">
        <f>IF(Rechnen!$V$3=0,"",Rechnen!N3)</f>
      </c>
      <c r="F3" s="39" t="s">
        <v>15</v>
      </c>
      <c r="G3" s="38">
        <f>IF(Rechnen!$V$3=0,"",Rechnen!P3)</f>
      </c>
      <c r="H3" s="40">
        <f>IF(AND(E3="",G3=""),"",(E3-G3))</f>
      </c>
      <c r="I3" s="41"/>
    </row>
    <row r="4" spans="1:9" ht="18" customHeight="1">
      <c r="A4" s="37">
        <f>IF(Rechnen!$V$3=0,"",2)</f>
      </c>
      <c r="B4" s="38" t="str">
        <f>Rechnen!K4</f>
        <v>KJG Wiesloch</v>
      </c>
      <c r="C4" s="38">
        <f>IF(Rechnen!$V$3=0,"",Rechnen!L4)</f>
      </c>
      <c r="D4" s="38">
        <f>IF(Rechnen!$V$3=0,"",Rechnen!M4)</f>
      </c>
      <c r="E4" s="38">
        <f>IF(Rechnen!$V$3=0,"",Rechnen!N4)</f>
      </c>
      <c r="F4" s="39" t="s">
        <v>15</v>
      </c>
      <c r="G4" s="38">
        <f>IF(Rechnen!$V$3=0,"",Rechnen!P4)</f>
      </c>
      <c r="H4" s="40">
        <f>IF(AND(E4="",G4=""),"",(E4-G4))</f>
      </c>
      <c r="I4" s="41"/>
    </row>
    <row r="5" spans="1:9" ht="18" customHeight="1">
      <c r="A5" s="37">
        <f>IF(Rechnen!$V$3=0,"",3)</f>
      </c>
      <c r="B5" s="38" t="str">
        <f>Rechnen!K5</f>
        <v>Minis Forst II</v>
      </c>
      <c r="C5" s="38">
        <f>IF(Rechnen!$V$3=0,"",Rechnen!L5)</f>
      </c>
      <c r="D5" s="38">
        <f>IF(Rechnen!$V$3=0,"",Rechnen!M5)</f>
      </c>
      <c r="E5" s="38">
        <f>IF(Rechnen!$V$3=0,"",Rechnen!N5)</f>
      </c>
      <c r="F5" s="39" t="s">
        <v>15</v>
      </c>
      <c r="G5" s="38">
        <f>IF(Rechnen!$V$3=0,"",Rechnen!P5)</f>
      </c>
      <c r="H5" s="40">
        <f>IF(AND(E5="",G5=""),"",(E5-G5))</f>
      </c>
      <c r="I5" s="41"/>
    </row>
    <row r="6" spans="1:9" ht="18" customHeight="1">
      <c r="A6" s="37">
        <f>IF(Rechnen!$V$3=0,"",4)</f>
      </c>
      <c r="B6" s="38" t="str">
        <f>Rechnen!K6</f>
        <v>Natural Born Kickers</v>
      </c>
      <c r="C6" s="38">
        <f>IF(Rechnen!$V$3=0,"",Rechnen!L6)</f>
      </c>
      <c r="D6" s="38">
        <f>IF(Rechnen!$V$3=0,"",Rechnen!M6)</f>
      </c>
      <c r="E6" s="38">
        <f>IF(Rechnen!$V$3=0,"",Rechnen!N6)</f>
      </c>
      <c r="F6" s="39" t="s">
        <v>15</v>
      </c>
      <c r="G6" s="38">
        <f>IF(Rechnen!$V$3=0,"",Rechnen!P6)</f>
      </c>
      <c r="H6" s="40">
        <f>IF(AND(E6="",G6=""),"",(E6-G6))</f>
      </c>
      <c r="I6" s="41"/>
    </row>
    <row r="7" spans="1:15" ht="15" customHeight="1">
      <c r="A7" s="255"/>
      <c r="B7" s="253" t="s">
        <v>6</v>
      </c>
      <c r="C7" s="251" t="s">
        <v>36</v>
      </c>
      <c r="D7" s="253" t="s">
        <v>1</v>
      </c>
      <c r="E7" s="253" t="s">
        <v>2</v>
      </c>
      <c r="F7" s="253"/>
      <c r="G7" s="253"/>
      <c r="H7" s="253" t="s">
        <v>37</v>
      </c>
      <c r="I7" s="42"/>
      <c r="J7" s="43"/>
      <c r="K7" s="43"/>
      <c r="L7" s="44"/>
      <c r="M7" s="45"/>
      <c r="N7" s="46"/>
      <c r="O7" s="46"/>
    </row>
    <row r="8" spans="1:15" ht="15" customHeight="1">
      <c r="A8" s="256"/>
      <c r="B8" s="254"/>
      <c r="C8" s="252"/>
      <c r="D8" s="254"/>
      <c r="E8" s="254"/>
      <c r="F8" s="254"/>
      <c r="G8" s="254"/>
      <c r="H8" s="254"/>
      <c r="I8" s="42"/>
      <c r="J8" s="43"/>
      <c r="K8" s="43"/>
      <c r="L8" s="44"/>
      <c r="M8" s="45"/>
      <c r="N8" s="46"/>
      <c r="O8" s="46"/>
    </row>
    <row r="9" spans="1:15" ht="18" customHeight="1">
      <c r="A9" s="37">
        <f>IF(Rechnen!$W$3=0,"",1)</f>
      </c>
      <c r="B9" s="38" t="str">
        <f>Rechnen!K10</f>
        <v>ALFons</v>
      </c>
      <c r="C9" s="38">
        <f>IF(Rechnen!$W$3=0,"",Rechnen!L10)</f>
      </c>
      <c r="D9" s="38">
        <f>IF(Rechnen!$W$3=0,"",Rechnen!M10)</f>
      </c>
      <c r="E9" s="38">
        <f>IF(Rechnen!$W$3=0,"",Rechnen!N10)</f>
      </c>
      <c r="F9" s="39" t="s">
        <v>15</v>
      </c>
      <c r="G9" s="38">
        <f>IF(Rechnen!$W$3=0,"",Rechnen!P10)</f>
      </c>
      <c r="H9" s="40">
        <f>IF(AND(E9="",G9=""),"",(E9-G9))</f>
      </c>
      <c r="I9" s="47"/>
      <c r="J9" s="45"/>
      <c r="K9" s="47"/>
      <c r="L9" s="44"/>
      <c r="M9" s="45"/>
      <c r="N9" s="46"/>
      <c r="O9" s="46"/>
    </row>
    <row r="10" spans="1:15" ht="18" customHeight="1">
      <c r="A10" s="37">
        <f>IF(Rechnen!$W$3=0,"",2)</f>
      </c>
      <c r="B10" s="38" t="str">
        <f>Rechnen!K11</f>
        <v>Mini Kenzingen</v>
      </c>
      <c r="C10" s="38">
        <f>IF(Rechnen!$W$3=0,"",Rechnen!L11)</f>
      </c>
      <c r="D10" s="38">
        <f>IF(Rechnen!$W$3=0,"",Rechnen!M11)</f>
      </c>
      <c r="E10" s="38">
        <f>IF(Rechnen!$W$3=0,"",Rechnen!N11)</f>
      </c>
      <c r="F10" s="39" t="s">
        <v>15</v>
      </c>
      <c r="G10" s="38">
        <f>IF(Rechnen!$W$3=0,"",Rechnen!P11)</f>
      </c>
      <c r="H10" s="40">
        <f>IF(AND(E10="",G10=""),"",(E10-G10))</f>
      </c>
      <c r="I10" s="48"/>
      <c r="J10" s="49"/>
      <c r="K10" s="49"/>
      <c r="L10" s="49"/>
      <c r="M10" s="49"/>
      <c r="N10" s="49"/>
      <c r="O10" s="49"/>
    </row>
    <row r="11" spans="1:9" ht="18" customHeight="1">
      <c r="A11" s="37">
        <f>IF(Rechnen!$W$3=0,"",3)</f>
      </c>
      <c r="B11" s="38" t="str">
        <f>Rechnen!K12</f>
        <v>Himmelsstürmer</v>
      </c>
      <c r="C11" s="38">
        <f>IF(Rechnen!$W$3=0,"",Rechnen!L12)</f>
      </c>
      <c r="D11" s="38">
        <f>IF(Rechnen!$W$3=0,"",Rechnen!M12)</f>
      </c>
      <c r="E11" s="38">
        <f>IF(Rechnen!$W$3=0,"",Rechnen!N12)</f>
      </c>
      <c r="F11" s="39" t="s">
        <v>15</v>
      </c>
      <c r="G11" s="38">
        <f>IF(Rechnen!$W$3=0,"",Rechnen!P12)</f>
      </c>
      <c r="H11" s="40">
        <f>IF(AND(E11="",G11=""),"",(E11-G11))</f>
      </c>
      <c r="I11" s="42"/>
    </row>
    <row r="12" spans="1:8" ht="18" customHeight="1">
      <c r="A12" s="37">
        <f>IF(Rechnen!$W$3=0,"",4)</f>
      </c>
      <c r="B12" s="38" t="str">
        <f>Rechnen!K13</f>
        <v>Minis Forst I</v>
      </c>
      <c r="C12" s="38">
        <f>IF(Rechnen!$W$3=0,"",Rechnen!L13)</f>
      </c>
      <c r="D12" s="38">
        <f>IF(Rechnen!$W$3=0,"",Rechnen!M13)</f>
      </c>
      <c r="E12" s="38">
        <f>IF(Rechnen!$W$3=0,"",Rechnen!N13)</f>
      </c>
      <c r="F12" s="39" t="s">
        <v>15</v>
      </c>
      <c r="G12" s="38">
        <f>IF(Rechnen!$W$3=0,"",Rechnen!P13)</f>
      </c>
      <c r="H12" s="40">
        <f>IF(AND(E12="",G12=""),"",(E12-G12))</f>
      </c>
    </row>
    <row r="13" spans="1:8" ht="18" customHeight="1">
      <c r="A13" s="255"/>
      <c r="B13" s="253" t="s">
        <v>3</v>
      </c>
      <c r="C13" s="251" t="s">
        <v>36</v>
      </c>
      <c r="D13" s="253" t="s">
        <v>1</v>
      </c>
      <c r="E13" s="253" t="s">
        <v>2</v>
      </c>
      <c r="F13" s="253"/>
      <c r="G13" s="253"/>
      <c r="H13" s="253" t="s">
        <v>37</v>
      </c>
    </row>
    <row r="14" spans="1:8" ht="15" customHeight="1">
      <c r="A14" s="256"/>
      <c r="B14" s="254"/>
      <c r="C14" s="252"/>
      <c r="D14" s="254"/>
      <c r="E14" s="254"/>
      <c r="F14" s="254"/>
      <c r="G14" s="254"/>
      <c r="H14" s="254"/>
    </row>
    <row r="15" spans="1:8" ht="15">
      <c r="A15" s="37">
        <f>IF(Rechnen!$X$3=0,"",1)</f>
      </c>
      <c r="B15" s="38" t="str">
        <f>Rechnen!K17</f>
        <v>KJG Walldorf</v>
      </c>
      <c r="C15" s="38">
        <f>IF(Rechnen!$X$3=0,"",Rechnen!L17)</f>
      </c>
      <c r="D15" s="38">
        <f>IF(Rechnen!$X$3=0,"",Rechnen!M17)</f>
      </c>
      <c r="E15" s="38">
        <f>IF(Rechnen!$X$3=0,"",Rechnen!N17)</f>
      </c>
      <c r="F15" s="39" t="s">
        <v>15</v>
      </c>
      <c r="G15" s="38">
        <f>IF(Rechnen!$X$3=0,"",Rechnen!P17)</f>
      </c>
      <c r="H15" s="40">
        <f>IF(AND(E15="",G15=""),"",(E15-G15))</f>
      </c>
    </row>
    <row r="16" spans="1:8" ht="15">
      <c r="A16" s="37">
        <f>IF(Rechnen!$X$3=0,"",2)</f>
      </c>
      <c r="B16" s="38" t="str">
        <f>Rechnen!K18</f>
        <v>Hl. Kreuz</v>
      </c>
      <c r="C16" s="38">
        <f>IF(Rechnen!$X$3=0,"",Rechnen!L18)</f>
      </c>
      <c r="D16" s="38">
        <f>IF(Rechnen!$X$3=0,"",Rechnen!M18)</f>
      </c>
      <c r="E16" s="38">
        <f>IF(Rechnen!$X$3=0,"",Rechnen!N18)</f>
      </c>
      <c r="F16" s="39" t="s">
        <v>15</v>
      </c>
      <c r="G16" s="38">
        <f>IF(Rechnen!$X$3=0,"",Rechnen!P18)</f>
      </c>
      <c r="H16" s="40">
        <f>IF(AND(E16="",G16=""),"",(E16-G16))</f>
      </c>
    </row>
    <row r="17" spans="1:8" ht="15">
      <c r="A17" s="37">
        <f>IF(Rechnen!$X$3=0,"",3)</f>
      </c>
      <c r="B17" s="38" t="str">
        <f>Rechnen!K19</f>
        <v>Minis Rot</v>
      </c>
      <c r="C17" s="38">
        <f>IF(Rechnen!$X$3=0,"",Rechnen!L19)</f>
      </c>
      <c r="D17" s="38">
        <f>IF(Rechnen!$X$3=0,"",Rechnen!M19)</f>
      </c>
      <c r="E17" s="38">
        <f>IF(Rechnen!$X$3=0,"",Rechnen!N19)</f>
      </c>
      <c r="F17" s="39" t="s">
        <v>15</v>
      </c>
      <c r="G17" s="38">
        <f>IF(Rechnen!$X$3=0,"",Rechnen!P19)</f>
      </c>
      <c r="H17" s="40">
        <f>IF(AND(E17="",G17=""),"",(E17-G17))</f>
      </c>
    </row>
    <row r="18" spans="1:8" ht="15">
      <c r="A18" s="37">
        <f>IF(Rechnen!$X$3=0,"",4)</f>
      </c>
      <c r="B18" s="38" t="str">
        <f>Rechnen!K20</f>
        <v>Die Bierbauchkicker</v>
      </c>
      <c r="C18" s="38">
        <f>IF(Rechnen!$X$3=0,"",Rechnen!L20)</f>
      </c>
      <c r="D18" s="38">
        <f>IF(Rechnen!$X$3=0,"",Rechnen!M20)</f>
      </c>
      <c r="E18" s="38">
        <f>IF(Rechnen!$X$3=0,"",Rechnen!N20)</f>
      </c>
      <c r="F18" s="39" t="s">
        <v>15</v>
      </c>
      <c r="G18" s="38">
        <f>IF(Rechnen!$X$3=0,"",Rechnen!P20)</f>
      </c>
      <c r="H18" s="40">
        <f>IF(AND(E18="",G18=""),"",(E18-G18))</f>
      </c>
    </row>
    <row r="19" spans="1:8" ht="15">
      <c r="A19" s="255"/>
      <c r="B19" s="253" t="s">
        <v>7</v>
      </c>
      <c r="C19" s="251" t="s">
        <v>36</v>
      </c>
      <c r="D19" s="253" t="s">
        <v>1</v>
      </c>
      <c r="E19" s="253" t="s">
        <v>2</v>
      </c>
      <c r="F19" s="253"/>
      <c r="G19" s="253"/>
      <c r="H19" s="253" t="s">
        <v>37</v>
      </c>
    </row>
    <row r="20" spans="1:8" ht="15">
      <c r="A20" s="256"/>
      <c r="B20" s="254"/>
      <c r="C20" s="252"/>
      <c r="D20" s="254"/>
      <c r="E20" s="254"/>
      <c r="F20" s="254"/>
      <c r="G20" s="254"/>
      <c r="H20" s="254"/>
    </row>
    <row r="21" spans="1:8" ht="15">
      <c r="A21" s="37">
        <f>IF(Rechnen!$Y$3=0,"",1)</f>
      </c>
      <c r="B21" s="38" t="str">
        <f>Rechnen!K24</f>
        <v>Minis Mühlhausen/Rettigheim</v>
      </c>
      <c r="C21" s="38">
        <f>IF(Rechnen!$Y$3=0,"",Rechnen!L24)</f>
      </c>
      <c r="D21" s="38">
        <f>IF(Rechnen!$Y$3=0,"",Rechnen!M24)</f>
      </c>
      <c r="E21" s="38">
        <f>IF(Rechnen!$Y$3=0,"",Rechnen!N24)</f>
      </c>
      <c r="F21" s="39" t="s">
        <v>15</v>
      </c>
      <c r="G21" s="38">
        <f>IF(Rechnen!$Y$3=0,"",Rechnen!P24)</f>
      </c>
      <c r="H21" s="40">
        <f>IF(AND(E21="",G21=""),"",(E21-G21))</f>
      </c>
    </row>
    <row r="22" spans="1:8" ht="15">
      <c r="A22" s="37">
        <f>IF(Rechnen!$Y$3=0,"",2)</f>
      </c>
      <c r="B22" s="38" t="str">
        <f>Rechnen!K25</f>
        <v>Bolzplatzkickers</v>
      </c>
      <c r="C22" s="38">
        <f>IF(Rechnen!$Y$3=0,"",Rechnen!L25)</f>
      </c>
      <c r="D22" s="38">
        <f>IF(Rechnen!$Y$3=0,"",Rechnen!M25)</f>
      </c>
      <c r="E22" s="38">
        <f>IF(Rechnen!$Y$3=0,"",Rechnen!N25)</f>
      </c>
      <c r="F22" s="39" t="s">
        <v>15</v>
      </c>
      <c r="G22" s="38">
        <f>IF(Rechnen!$Y$3=0,"",Rechnen!P25)</f>
      </c>
      <c r="H22" s="40">
        <f>IF(AND(E22="",G22=""),"",(E22-G22))</f>
      </c>
    </row>
    <row r="23" spans="1:8" ht="15">
      <c r="A23" s="37">
        <f>IF(Rechnen!$Y$3=0,"",3)</f>
      </c>
      <c r="B23" s="38" t="str">
        <f>Rechnen!K26</f>
        <v>Letzenbergkicker</v>
      </c>
      <c r="C23" s="38">
        <f>IF(Rechnen!$Y$3=0,"",Rechnen!L26)</f>
      </c>
      <c r="D23" s="38">
        <f>IF(Rechnen!$Y$3=0,"",Rechnen!M26)</f>
      </c>
      <c r="E23" s="38">
        <f>IF(Rechnen!$Y$3=0,"",Rechnen!N26)</f>
      </c>
      <c r="F23" s="39" t="s">
        <v>15</v>
      </c>
      <c r="G23" s="38">
        <f>IF(Rechnen!$Y$3=0,"",Rechnen!P26)</f>
      </c>
      <c r="H23" s="40">
        <f>IF(AND(E23="",G23=""),"",(E23-G23))</f>
      </c>
    </row>
    <row r="24" spans="1:8" ht="15">
      <c r="A24" s="37">
        <f>IF(Rechnen!$Y$3=0,"",4)</f>
      </c>
      <c r="B24" s="38" t="str">
        <f>Rechnen!K27</f>
        <v>ALFons Allstars</v>
      </c>
      <c r="C24" s="38">
        <f>IF(Rechnen!$Y$3=0,"",Rechnen!L27)</f>
      </c>
      <c r="D24" s="38">
        <f>IF(Rechnen!$Y$3=0,"",Rechnen!M27)</f>
      </c>
      <c r="E24" s="38">
        <f>IF(Rechnen!$Y$3=0,"",Rechnen!N27)</f>
      </c>
      <c r="F24" s="39" t="s">
        <v>15</v>
      </c>
      <c r="G24" s="38">
        <f>IF(Rechnen!$Y$3=0,"",Rechnen!P27)</f>
      </c>
      <c r="H24" s="40">
        <f>IF(AND(E24="",G24=""),"",(E24-G24))</f>
      </c>
    </row>
  </sheetData>
  <sheetProtection password="E760" sheet="1" objects="1" scenarios="1"/>
  <mergeCells count="20">
    <mergeCell ref="E13:G14"/>
    <mergeCell ref="H13:H14"/>
    <mergeCell ref="E19:G20"/>
    <mergeCell ref="H19:H20"/>
    <mergeCell ref="A13:A14"/>
    <mergeCell ref="B13:B14"/>
    <mergeCell ref="A19:A20"/>
    <mergeCell ref="B19:B20"/>
    <mergeCell ref="C19:C20"/>
    <mergeCell ref="D19:D20"/>
    <mergeCell ref="C13:C14"/>
    <mergeCell ref="D13:D14"/>
    <mergeCell ref="B1:H1"/>
    <mergeCell ref="E2:G2"/>
    <mergeCell ref="C7:C8"/>
    <mergeCell ref="B7:B8"/>
    <mergeCell ref="D7:D8"/>
    <mergeCell ref="A7:A8"/>
    <mergeCell ref="H7:H8"/>
    <mergeCell ref="E7:G8"/>
  </mergeCells>
  <printOptions horizontalCentered="1"/>
  <pageMargins left="0.7480314960629921" right="0.7086614173228347" top="1.299212598425197" bottom="0.984251968503937" header="0.4724409448818898" footer="0.5118110236220472"/>
  <pageSetup horizontalDpi="600" verticalDpi="600" orientation="portrait" paperSize="9" r:id="rId4"/>
  <headerFooter alignWithMargins="0">
    <oddHeader>&amp;LSamstag, 06.12.2008
Stadionhalle Wiesloch&amp;C&amp;G&amp;R&amp;"Arial,Fett"&amp;12Ministranten-Turnier 2008
AK II 
</oddHeader>
  </headerFooter>
  <colBreaks count="1" manualBreakCount="1">
    <brk id="9" max="65535" man="1"/>
  </colBreaks>
  <legacyDrawing r:id="rId2"/>
  <legacyDrawingHF r:id="rId3"/>
</worksheet>
</file>

<file path=xl/worksheets/sheet7.xml><?xml version="1.0" encoding="utf-8"?>
<worksheet xmlns="http://schemas.openxmlformats.org/spreadsheetml/2006/main" xmlns:r="http://schemas.openxmlformats.org/officeDocument/2006/relationships">
  <sheetPr codeName="Tabelle5"/>
  <dimension ref="A1:O24"/>
  <sheetViews>
    <sheetView zoomScale="75" zoomScaleNormal="75" zoomScalePageLayoutView="0" workbookViewId="0" topLeftCell="A1">
      <selection activeCell="A13" sqref="A13:A14"/>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49" t="s">
        <v>54</v>
      </c>
      <c r="C1" s="249"/>
      <c r="D1" s="249"/>
      <c r="E1" s="249"/>
      <c r="F1" s="249"/>
      <c r="G1" s="249"/>
      <c r="H1" s="249"/>
      <c r="I1" s="30"/>
      <c r="J1" s="30"/>
      <c r="K1" s="30"/>
      <c r="L1" s="30"/>
      <c r="M1" s="30"/>
      <c r="N1" s="30"/>
      <c r="O1" s="30"/>
    </row>
    <row r="2" spans="1:9" ht="30" customHeight="1">
      <c r="A2" s="31" t="s">
        <v>44</v>
      </c>
      <c r="B2" s="32" t="s">
        <v>50</v>
      </c>
      <c r="C2" s="33" t="s">
        <v>36</v>
      </c>
      <c r="D2" s="32" t="s">
        <v>1</v>
      </c>
      <c r="E2" s="250" t="s">
        <v>2</v>
      </c>
      <c r="F2" s="250"/>
      <c r="G2" s="250"/>
      <c r="H2" s="32" t="s">
        <v>37</v>
      </c>
      <c r="I2" s="34"/>
    </row>
    <row r="3" spans="1:9" ht="18" customHeight="1">
      <c r="A3" s="37">
        <f>IF(Rechnen2!$V$3=0,"",1)</f>
      </c>
      <c r="B3" s="38" t="str">
        <f>Rechnen2!K3</f>
        <v>A1</v>
      </c>
      <c r="C3" s="38">
        <f>IF(Rechnen2!$V$3=0,"",Rechnen2!L3)</f>
      </c>
      <c r="D3" s="38">
        <f>IF(Rechnen2!$V$3=0,"",Rechnen2!M3)</f>
      </c>
      <c r="E3" s="38">
        <f>IF(Rechnen2!$V$3=0,"",Rechnen2!N3)</f>
      </c>
      <c r="F3" s="39" t="s">
        <v>15</v>
      </c>
      <c r="G3" s="38">
        <f>IF(Rechnen2!$V$3=0,"",Rechnen2!P3)</f>
      </c>
      <c r="H3" s="40">
        <f>IF(AND(E3="",G3=""),"",(E3-G3))</f>
      </c>
      <c r="I3" s="41"/>
    </row>
    <row r="4" spans="1:9" ht="18" customHeight="1">
      <c r="A4" s="37">
        <f>IF(Rechnen2!$V$3=0,"",2)</f>
      </c>
      <c r="B4" s="38" t="str">
        <f>Rechnen2!K4</f>
        <v>B1</v>
      </c>
      <c r="C4" s="38">
        <f>IF(Rechnen2!$V$3=0,"",Rechnen2!L4)</f>
      </c>
      <c r="D4" s="38">
        <f>IF(Rechnen2!$V$3=0,"",Rechnen2!M4)</f>
      </c>
      <c r="E4" s="38">
        <f>IF(Rechnen2!$V$3=0,"",Rechnen2!N4)</f>
      </c>
      <c r="F4" s="39" t="s">
        <v>15</v>
      </c>
      <c r="G4" s="38">
        <f>IF(Rechnen2!$V$3=0,"",Rechnen2!P4)</f>
      </c>
      <c r="H4" s="40">
        <f>IF(AND(E4="",G4=""),"",(E4-G4))</f>
      </c>
      <c r="I4" s="41"/>
    </row>
    <row r="5" spans="1:9" ht="18" customHeight="1">
      <c r="A5" s="37">
        <f>IF(Rechnen2!$V$3=0,"",3)</f>
      </c>
      <c r="B5" s="38" t="str">
        <f>Rechnen2!K5</f>
        <v>C2</v>
      </c>
      <c r="C5" s="38">
        <f>IF(Rechnen2!$V$3=0,"",Rechnen2!L5)</f>
      </c>
      <c r="D5" s="38">
        <f>IF(Rechnen2!$V$3=0,"",Rechnen2!M5)</f>
      </c>
      <c r="E5" s="38">
        <f>IF(Rechnen2!$V$3=0,"",Rechnen2!N5)</f>
      </c>
      <c r="F5" s="39" t="s">
        <v>15</v>
      </c>
      <c r="G5" s="38">
        <f>IF(Rechnen2!$V$3=0,"",Rechnen2!P5)</f>
      </c>
      <c r="H5" s="40">
        <f>IF(AND(E5="",G5=""),"",(E5-G5))</f>
      </c>
      <c r="I5" s="41"/>
    </row>
    <row r="6" spans="1:9" ht="18" customHeight="1">
      <c r="A6" s="37">
        <f>IF(Rechnen2!$V$3=0,"",4)</f>
      </c>
      <c r="B6" s="38" t="str">
        <f>Rechnen2!K6</f>
        <v>D2</v>
      </c>
      <c r="C6" s="38">
        <f>IF(Rechnen2!$V$3=0,"",Rechnen2!L6)</f>
      </c>
      <c r="D6" s="38">
        <f>IF(Rechnen2!$V$3=0,"",Rechnen2!M6)</f>
      </c>
      <c r="E6" s="38">
        <f>IF(Rechnen2!$V$3=0,"",Rechnen2!N6)</f>
      </c>
      <c r="F6" s="39" t="s">
        <v>15</v>
      </c>
      <c r="G6" s="38">
        <f>IF(Rechnen2!$V$3=0,"",Rechnen2!P6)</f>
      </c>
      <c r="H6" s="40">
        <f>IF(AND(E6="",G6=""),"",(E6-G6))</f>
      </c>
      <c r="I6" s="41"/>
    </row>
    <row r="7" spans="1:15" ht="15" customHeight="1">
      <c r="A7" s="255"/>
      <c r="B7" s="253" t="s">
        <v>51</v>
      </c>
      <c r="C7" s="251" t="s">
        <v>36</v>
      </c>
      <c r="D7" s="253" t="s">
        <v>1</v>
      </c>
      <c r="E7" s="253" t="s">
        <v>2</v>
      </c>
      <c r="F7" s="253"/>
      <c r="G7" s="253"/>
      <c r="H7" s="253" t="s">
        <v>37</v>
      </c>
      <c r="I7" s="42"/>
      <c r="J7" s="43"/>
      <c r="K7" s="43"/>
      <c r="L7" s="44"/>
      <c r="M7" s="45"/>
      <c r="N7" s="46"/>
      <c r="O7" s="46"/>
    </row>
    <row r="8" spans="1:15" ht="15" customHeight="1">
      <c r="A8" s="256"/>
      <c r="B8" s="254"/>
      <c r="C8" s="252"/>
      <c r="D8" s="254"/>
      <c r="E8" s="254"/>
      <c r="F8" s="254"/>
      <c r="G8" s="254"/>
      <c r="H8" s="254"/>
      <c r="I8" s="42"/>
      <c r="J8" s="43"/>
      <c r="K8" s="43"/>
      <c r="L8" s="44"/>
      <c r="M8" s="45"/>
      <c r="N8" s="46"/>
      <c r="O8" s="46"/>
    </row>
    <row r="9" spans="1:15" ht="18" customHeight="1">
      <c r="A9" s="37">
        <f>IF(Rechnen2!$W$3=0,"",1)</f>
      </c>
      <c r="B9" s="38" t="str">
        <f>Rechnen2!K10</f>
        <v>A2</v>
      </c>
      <c r="C9" s="38">
        <f>IF(Rechnen2!$W$3=0,"",Rechnen2!L10)</f>
      </c>
      <c r="D9" s="38">
        <f>IF(Rechnen2!$W$3=0,"",Rechnen2!M10)</f>
      </c>
      <c r="E9" s="38">
        <f>IF(Rechnen2!$W$3=0,"",Rechnen2!N10)</f>
      </c>
      <c r="F9" s="39" t="s">
        <v>15</v>
      </c>
      <c r="G9" s="38">
        <f>IF(Rechnen2!$W$3=0,"",Rechnen2!P10)</f>
      </c>
      <c r="H9" s="40">
        <f>IF(AND(E9="",G9=""),"",(E9-G9))</f>
      </c>
      <c r="I9" s="47"/>
      <c r="J9" s="45"/>
      <c r="K9" s="47"/>
      <c r="L9" s="44"/>
      <c r="M9" s="45"/>
      <c r="N9" s="46"/>
      <c r="O9" s="46"/>
    </row>
    <row r="10" spans="1:15" ht="18" customHeight="1">
      <c r="A10" s="37">
        <f>IF(Rechnen2!$W$3=0,"",2)</f>
      </c>
      <c r="B10" s="38" t="str">
        <f>Rechnen2!K11</f>
        <v>B2</v>
      </c>
      <c r="C10" s="38">
        <f>IF(Rechnen2!$W$3=0,"",Rechnen2!L11)</f>
      </c>
      <c r="D10" s="38">
        <f>IF(Rechnen2!$W$3=0,"",Rechnen2!M11)</f>
      </c>
      <c r="E10" s="38">
        <f>IF(Rechnen2!$W$3=0,"",Rechnen2!N11)</f>
      </c>
      <c r="F10" s="39" t="s">
        <v>15</v>
      </c>
      <c r="G10" s="38">
        <f>IF(Rechnen2!$W$3=0,"",Rechnen2!P11)</f>
      </c>
      <c r="H10" s="40">
        <f>IF(AND(E10="",G10=""),"",(E10-G10))</f>
      </c>
      <c r="I10" s="48"/>
      <c r="J10" s="49"/>
      <c r="K10" s="49"/>
      <c r="L10" s="49"/>
      <c r="M10" s="49"/>
      <c r="N10" s="49"/>
      <c r="O10" s="49"/>
    </row>
    <row r="11" spans="1:9" ht="18" customHeight="1">
      <c r="A11" s="37">
        <f>IF(Rechnen2!$W$3=0,"",3)</f>
      </c>
      <c r="B11" s="38" t="str">
        <f>Rechnen2!K12</f>
        <v>C1</v>
      </c>
      <c r="C11" s="38">
        <f>IF(Rechnen2!$W$3=0,"",Rechnen2!L12)</f>
      </c>
      <c r="D11" s="38">
        <f>IF(Rechnen2!$W$3=0,"",Rechnen2!M12)</f>
      </c>
      <c r="E11" s="38">
        <f>IF(Rechnen2!$W$3=0,"",Rechnen2!N12)</f>
      </c>
      <c r="F11" s="39" t="s">
        <v>15</v>
      </c>
      <c r="G11" s="38">
        <f>IF(Rechnen2!$W$3=0,"",Rechnen2!P12)</f>
      </c>
      <c r="H11" s="40">
        <f>IF(AND(E11="",G11=""),"",(E11-G11))</f>
      </c>
      <c r="I11" s="42"/>
    </row>
    <row r="12" spans="1:8" ht="18" customHeight="1">
      <c r="A12" s="37">
        <f>IF(Rechnen2!$W$3=0,"",4)</f>
      </c>
      <c r="B12" s="38" t="str">
        <f>Rechnen2!K13</f>
        <v>D1</v>
      </c>
      <c r="C12" s="38">
        <f>IF(Rechnen2!$W$3=0,"",Rechnen2!L13)</f>
      </c>
      <c r="D12" s="38">
        <f>IF(Rechnen2!$W$3=0,"",Rechnen2!M13)</f>
      </c>
      <c r="E12" s="38">
        <f>IF(Rechnen2!$W$3=0,"",Rechnen2!N13)</f>
      </c>
      <c r="F12" s="39" t="s">
        <v>15</v>
      </c>
      <c r="G12" s="38">
        <f>IF(Rechnen2!$W$3=0,"",Rechnen2!P13)</f>
      </c>
      <c r="H12" s="40">
        <f>IF(AND(E12="",G12=""),"",(E12-G12))</f>
      </c>
    </row>
    <row r="13" spans="1:8" ht="18" customHeight="1">
      <c r="A13" s="255"/>
      <c r="B13" s="253" t="s">
        <v>52</v>
      </c>
      <c r="C13" s="251" t="s">
        <v>36</v>
      </c>
      <c r="D13" s="253" t="s">
        <v>1</v>
      </c>
      <c r="E13" s="253" t="s">
        <v>2</v>
      </c>
      <c r="F13" s="253"/>
      <c r="G13" s="253"/>
      <c r="H13" s="253" t="s">
        <v>37</v>
      </c>
    </row>
    <row r="14" spans="1:8" ht="15" customHeight="1">
      <c r="A14" s="256"/>
      <c r="B14" s="254"/>
      <c r="C14" s="252"/>
      <c r="D14" s="254"/>
      <c r="E14" s="254"/>
      <c r="F14" s="254"/>
      <c r="G14" s="254"/>
      <c r="H14" s="254"/>
    </row>
    <row r="15" spans="1:8" ht="15">
      <c r="A15" s="37">
        <f>IF(Rechnen2!$X$3=0,"",1)</f>
      </c>
      <c r="B15" s="38" t="str">
        <f>Rechnen2!K17</f>
        <v>A3</v>
      </c>
      <c r="C15" s="38">
        <f>IF(Rechnen2!$X$3=0,"",Rechnen2!L17)</f>
      </c>
      <c r="D15" s="38">
        <f>IF(Rechnen2!$X$3=0,"",Rechnen2!M17)</f>
      </c>
      <c r="E15" s="38">
        <f>IF(Rechnen2!$X$3=0,"",Rechnen2!N17)</f>
      </c>
      <c r="F15" s="39" t="s">
        <v>15</v>
      </c>
      <c r="G15" s="38">
        <f>IF(Rechnen2!$X$3=0,"",Rechnen2!P17)</f>
      </c>
      <c r="H15" s="40">
        <f>IF(AND(E15="",G15=""),"",(E15-G15))</f>
      </c>
    </row>
    <row r="16" spans="1:8" ht="15">
      <c r="A16" s="37">
        <f>IF(Rechnen2!$X$3=0,"",2)</f>
      </c>
      <c r="B16" s="38" t="str">
        <f>Rechnen2!K18</f>
        <v>B3</v>
      </c>
      <c r="C16" s="38">
        <f>IF(Rechnen2!$X$3=0,"",Rechnen2!L18)</f>
      </c>
      <c r="D16" s="38">
        <f>IF(Rechnen2!$X$3=0,"",Rechnen2!M18)</f>
      </c>
      <c r="E16" s="38">
        <f>IF(Rechnen2!$X$3=0,"",Rechnen2!N18)</f>
      </c>
      <c r="F16" s="39" t="s">
        <v>15</v>
      </c>
      <c r="G16" s="38">
        <f>IF(Rechnen2!$X$3=0,"",Rechnen2!P18)</f>
      </c>
      <c r="H16" s="40">
        <f>IF(AND(E16="",G16=""),"",(E16-G16))</f>
      </c>
    </row>
    <row r="17" spans="1:8" ht="15">
      <c r="A17" s="37">
        <f>IF(Rechnen2!$X$3=0,"",3)</f>
      </c>
      <c r="B17" s="38" t="str">
        <f>Rechnen2!K19</f>
        <v>C4</v>
      </c>
      <c r="C17" s="38">
        <f>IF(Rechnen2!$X$3=0,"",Rechnen2!L19)</f>
      </c>
      <c r="D17" s="38">
        <f>IF(Rechnen2!$X$3=0,"",Rechnen2!M19)</f>
      </c>
      <c r="E17" s="38">
        <f>IF(Rechnen2!$X$3=0,"",Rechnen2!N19)</f>
      </c>
      <c r="F17" s="39" t="s">
        <v>15</v>
      </c>
      <c r="G17" s="38">
        <f>IF(Rechnen2!$X$3=0,"",Rechnen2!P19)</f>
      </c>
      <c r="H17" s="40">
        <f>IF(AND(E17="",G17=""),"",(E17-G17))</f>
      </c>
    </row>
    <row r="18" spans="1:8" ht="15">
      <c r="A18" s="37">
        <f>IF(Rechnen2!$X$3=0,"",4)</f>
      </c>
      <c r="B18" s="38" t="str">
        <f>Rechnen2!K20</f>
        <v>D4</v>
      </c>
      <c r="C18" s="38">
        <f>IF(Rechnen2!$X$3=0,"",Rechnen2!L20)</f>
      </c>
      <c r="D18" s="38">
        <f>IF(Rechnen2!$X$3=0,"",Rechnen2!M20)</f>
      </c>
      <c r="E18" s="38">
        <f>IF(Rechnen2!$X$3=0,"",Rechnen2!N20)</f>
      </c>
      <c r="F18" s="39" t="s">
        <v>15</v>
      </c>
      <c r="G18" s="38">
        <f>IF(Rechnen2!$X$3=0,"",Rechnen2!P20)</f>
      </c>
      <c r="H18" s="40">
        <f>IF(AND(E18="",G18=""),"",(E18-G18))</f>
      </c>
    </row>
    <row r="19" spans="1:8" ht="15">
      <c r="A19" s="255"/>
      <c r="B19" s="253" t="s">
        <v>53</v>
      </c>
      <c r="C19" s="251" t="s">
        <v>36</v>
      </c>
      <c r="D19" s="253" t="s">
        <v>1</v>
      </c>
      <c r="E19" s="253" t="s">
        <v>2</v>
      </c>
      <c r="F19" s="253"/>
      <c r="G19" s="253"/>
      <c r="H19" s="253" t="s">
        <v>37</v>
      </c>
    </row>
    <row r="20" spans="1:8" ht="15">
      <c r="A20" s="256"/>
      <c r="B20" s="254"/>
      <c r="C20" s="252"/>
      <c r="D20" s="254"/>
      <c r="E20" s="254"/>
      <c r="F20" s="254"/>
      <c r="G20" s="254"/>
      <c r="H20" s="254"/>
    </row>
    <row r="21" spans="1:8" ht="15">
      <c r="A21" s="37">
        <f>IF(Rechnen2!$Y$3=0,"",1)</f>
      </c>
      <c r="B21" s="38" t="str">
        <f>Rechnen2!K24</f>
        <v>A4</v>
      </c>
      <c r="C21" s="38">
        <f>IF(Rechnen2!$Y$3=0,"",Rechnen2!L24)</f>
      </c>
      <c r="D21" s="38">
        <f>IF(Rechnen2!$Y$3=0,"",Rechnen2!M24)</f>
      </c>
      <c r="E21" s="38">
        <f>IF(Rechnen2!$Y$3=0,"",Rechnen2!N24)</f>
      </c>
      <c r="F21" s="39" t="s">
        <v>15</v>
      </c>
      <c r="G21" s="38">
        <f>IF(Rechnen2!$Y$3=0,"",Rechnen2!P24)</f>
      </c>
      <c r="H21" s="40">
        <f>IF(AND(E21="",G21=""),"",(E21-G21))</f>
      </c>
    </row>
    <row r="22" spans="1:8" ht="15">
      <c r="A22" s="37">
        <f>IF(Rechnen2!$Y$3=0,"",2)</f>
      </c>
      <c r="B22" s="38" t="str">
        <f>Rechnen2!K25</f>
        <v>B4</v>
      </c>
      <c r="C22" s="38">
        <f>IF(Rechnen2!$Y$3=0,"",Rechnen2!L25)</f>
      </c>
      <c r="D22" s="38">
        <f>IF(Rechnen2!$Y$3=0,"",Rechnen2!M25)</f>
      </c>
      <c r="E22" s="38">
        <f>IF(Rechnen2!$Y$3=0,"",Rechnen2!N25)</f>
      </c>
      <c r="F22" s="39" t="s">
        <v>15</v>
      </c>
      <c r="G22" s="38">
        <f>IF(Rechnen2!$Y$3=0,"",Rechnen2!P25)</f>
      </c>
      <c r="H22" s="40">
        <f>IF(AND(E22="",G22=""),"",(E22-G22))</f>
      </c>
    </row>
    <row r="23" spans="1:8" ht="15">
      <c r="A23" s="37">
        <f>IF(Rechnen2!$Y$3=0,"",3)</f>
      </c>
      <c r="B23" s="38" t="str">
        <f>Rechnen2!K26</f>
        <v>C3</v>
      </c>
      <c r="C23" s="38">
        <f>IF(Rechnen2!$Y$3=0,"",Rechnen2!L26)</f>
      </c>
      <c r="D23" s="38">
        <f>IF(Rechnen2!$Y$3=0,"",Rechnen2!M26)</f>
      </c>
      <c r="E23" s="38">
        <f>IF(Rechnen2!$Y$3=0,"",Rechnen2!N26)</f>
      </c>
      <c r="F23" s="39" t="s">
        <v>15</v>
      </c>
      <c r="G23" s="38">
        <f>IF(Rechnen2!$Y$3=0,"",Rechnen2!P26)</f>
      </c>
      <c r="H23" s="40">
        <f>IF(AND(E23="",G23=""),"",(E23-G23))</f>
      </c>
    </row>
    <row r="24" spans="1:8" ht="15">
      <c r="A24" s="37">
        <f>IF(Rechnen2!$Y$3=0,"",4)</f>
      </c>
      <c r="B24" s="38" t="str">
        <f>Rechnen2!K27</f>
        <v>D3</v>
      </c>
      <c r="C24" s="38">
        <f>IF(Rechnen2!$Y$3=0,"",Rechnen2!L27)</f>
      </c>
      <c r="D24" s="38">
        <f>IF(Rechnen2!$Y$3=0,"",Rechnen2!M27)</f>
      </c>
      <c r="E24" s="38">
        <f>IF(Rechnen2!$Y$3=0,"",Rechnen2!N27)</f>
      </c>
      <c r="F24" s="39" t="s">
        <v>15</v>
      </c>
      <c r="G24" s="38">
        <f>IF(Rechnen2!$Y$3=0,"",Rechnen2!P27)</f>
      </c>
      <c r="H24" s="40">
        <f>IF(AND(E24="",G24=""),"",(E24-G24))</f>
      </c>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4"/>
  <headerFooter alignWithMargins="0">
    <oddHeader>&amp;LSamstag 06.12.2008
Stadtionhalle Wiesloch&amp;C&amp;G&amp;R&amp;"Arial,Fett"&amp;12Zwischenrundentabelle
Ministrantenturnier 2008 AK II
</oddHeader>
  </headerFooter>
  <colBreaks count="1" manualBreakCount="1">
    <brk id="9" max="65535" man="1"/>
  </colBreaks>
  <legacyDrawing r:id="rId2"/>
  <legacyDrawingHF r:id="rId3"/>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X28" sqref="X2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57" t="s">
        <v>12</v>
      </c>
      <c r="F2" s="257"/>
      <c r="G2" s="257"/>
      <c r="H2" s="74" t="s">
        <v>34</v>
      </c>
      <c r="I2" s="74" t="s">
        <v>35</v>
      </c>
      <c r="J2" s="16"/>
      <c r="K2" s="17" t="s">
        <v>50</v>
      </c>
      <c r="L2" s="17" t="s">
        <v>36</v>
      </c>
      <c r="M2" s="17" t="s">
        <v>1</v>
      </c>
      <c r="N2" s="258" t="s">
        <v>2</v>
      </c>
      <c r="O2" s="258"/>
      <c r="P2" s="258"/>
      <c r="Q2" s="17" t="s">
        <v>37</v>
      </c>
      <c r="R2" s="16"/>
      <c r="S2" s="11" t="s">
        <v>38</v>
      </c>
      <c r="T2" s="11" t="s">
        <v>39</v>
      </c>
      <c r="U2" s="11" t="s">
        <v>40</v>
      </c>
      <c r="V2" s="12" t="s">
        <v>60</v>
      </c>
      <c r="W2" s="12" t="s">
        <v>61</v>
      </c>
      <c r="X2" s="12" t="s">
        <v>62</v>
      </c>
      <c r="Y2" s="12" t="s">
        <v>63</v>
      </c>
    </row>
    <row r="3" spans="1:25" ht="12.75">
      <c r="A3" s="18">
        <f>Spielplan2!$B22</f>
        <v>25</v>
      </c>
      <c r="B3" s="18" t="str">
        <f>Spielplan2!$E22</f>
        <v>A1</v>
      </c>
      <c r="C3" s="19" t="s">
        <v>14</v>
      </c>
      <c r="D3" s="20" t="str">
        <f>Spielplan2!$G22</f>
        <v>B1</v>
      </c>
      <c r="E3" s="15">
        <f>IF(Spielplan2!$H22="","",Spielplan2!$H22)</f>
      </c>
      <c r="F3" s="15" t="s">
        <v>15</v>
      </c>
      <c r="G3" s="15">
        <f>IF(Spielplan2!$J22="","",Spielplan2!$J22)</f>
      </c>
      <c r="H3" s="75">
        <f aca="true" t="shared" si="0" ref="H3:H26">IF(OR($E3="",$G3=""),"",IF(E3&gt;G3,3,IF(E3=G3,1,0)))</f>
      </c>
      <c r="I3" s="75">
        <f aca="true" t="shared" si="1" ref="I3:I26">IF(OR($E3="",$G3=""),"",IF(G3&gt;E3,3,IF(E3=G3,1,0)))</f>
      </c>
      <c r="K3" s="73" t="str">
        <f>Spielplan2!A2</f>
        <v>A1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Spielplan2!$B24</f>
        <v>26</v>
      </c>
      <c r="B4" s="18" t="str">
        <f>Spielplan2!$E24</f>
        <v>A2</v>
      </c>
      <c r="C4" s="19" t="s">
        <v>14</v>
      </c>
      <c r="D4" s="20" t="str">
        <f>Spielplan2!$G24</f>
        <v>B2</v>
      </c>
      <c r="E4" s="15">
        <f>IF(Spielplan2!$H24="","",Spielplan2!$H24)</f>
      </c>
      <c r="F4" s="15" t="s">
        <v>15</v>
      </c>
      <c r="G4" s="15">
        <f>IF(Spielplan2!$J24="","",Spielplan2!$J24)</f>
      </c>
      <c r="H4" s="75">
        <f t="shared" si="0"/>
      </c>
      <c r="I4" s="75">
        <f t="shared" si="1"/>
      </c>
      <c r="K4" s="73" t="str">
        <f>Spielplan2!A4</f>
        <v>B1</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f>Spielplan2!$B26</f>
        <v>27</v>
      </c>
      <c r="B5" s="18" t="str">
        <f>Spielplan2!$E26</f>
        <v>A3</v>
      </c>
      <c r="C5" s="19" t="s">
        <v>14</v>
      </c>
      <c r="D5" s="20" t="str">
        <f>Spielplan2!$G26</f>
        <v>B3</v>
      </c>
      <c r="E5" s="15">
        <f>IF(Spielplan2!$H26="","",Spielplan2!$H26)</f>
      </c>
      <c r="F5" s="15" t="s">
        <v>15</v>
      </c>
      <c r="G5" s="15">
        <f>IF(Spielplan2!$J26="","",Spielplan2!$J26)</f>
      </c>
      <c r="H5" s="75">
        <f t="shared" si="0"/>
      </c>
      <c r="I5" s="75">
        <f t="shared" si="1"/>
      </c>
      <c r="K5" s="73" t="str">
        <f>Spielplan2!A6</f>
        <v>C2</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f>Spielplan2!$B28</f>
        <v>28</v>
      </c>
      <c r="B6" s="18" t="str">
        <f>Spielplan2!$E28</f>
        <v>A4</v>
      </c>
      <c r="C6" s="19" t="s">
        <v>14</v>
      </c>
      <c r="D6" s="20" t="str">
        <f>Spielplan2!$G28</f>
        <v>B4</v>
      </c>
      <c r="E6" s="15">
        <f>IF(Spielplan2!$H28="","",Spielplan2!$H28)</f>
      </c>
      <c r="F6" s="15" t="s">
        <v>15</v>
      </c>
      <c r="G6" s="15">
        <f>IF(Spielplan2!$J28="","",Spielplan2!$J28)</f>
      </c>
      <c r="H6" s="75">
        <f t="shared" si="0"/>
      </c>
      <c r="I6" s="75">
        <f t="shared" si="1"/>
      </c>
      <c r="K6" s="73" t="str">
        <f>Spielplan2!A8</f>
        <v>D2</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Spielplan2!$B23</f>
        <v>29</v>
      </c>
      <c r="B7" s="18" t="str">
        <f>Spielplan2!$E23</f>
        <v>C2</v>
      </c>
      <c r="C7" s="19" t="s">
        <v>14</v>
      </c>
      <c r="D7" s="20" t="str">
        <f>Spielplan2!$G23</f>
        <v>D2</v>
      </c>
      <c r="E7" s="15">
        <f>IF(Spielplan2!$H23="","",Spielplan2!$H23)</f>
      </c>
      <c r="F7" s="15" t="s">
        <v>15</v>
      </c>
      <c r="G7" s="15">
        <f>IF(Spielplan2!$J23="","",Spielplan2!$J23)</f>
      </c>
      <c r="H7" s="75">
        <f t="shared" si="0"/>
      </c>
      <c r="I7" s="75">
        <f t="shared" si="1"/>
      </c>
      <c r="K7" s="13"/>
      <c r="L7" s="19"/>
      <c r="M7" s="19"/>
      <c r="N7" s="15"/>
      <c r="O7" s="15"/>
      <c r="P7" s="15"/>
      <c r="Q7" s="15"/>
      <c r="R7" s="21"/>
    </row>
    <row r="8" spans="1:23" ht="12.75">
      <c r="A8" s="18">
        <f>Spielplan2!$B25</f>
        <v>30</v>
      </c>
      <c r="B8" s="18" t="str">
        <f>Spielplan2!$E25</f>
        <v>C1</v>
      </c>
      <c r="C8" s="19" t="s">
        <v>14</v>
      </c>
      <c r="D8" s="20" t="str">
        <f>Spielplan2!$G25</f>
        <v>D1</v>
      </c>
      <c r="E8" s="15">
        <f>IF(Spielplan2!$H25="","",Spielplan2!$H25)</f>
      </c>
      <c r="F8" s="15" t="s">
        <v>15</v>
      </c>
      <c r="G8" s="15">
        <f>IF(Spielplan2!$J25="","",Spielplan2!$J25)</f>
      </c>
      <c r="H8" s="75">
        <f t="shared" si="0"/>
      </c>
      <c r="I8" s="75">
        <f t="shared" si="1"/>
      </c>
      <c r="K8" s="257" t="s">
        <v>51</v>
      </c>
      <c r="L8" s="257" t="s">
        <v>36</v>
      </c>
      <c r="M8" s="257" t="s">
        <v>1</v>
      </c>
      <c r="N8" s="257" t="s">
        <v>2</v>
      </c>
      <c r="O8" s="257"/>
      <c r="P8" s="257"/>
      <c r="Q8" s="257" t="s">
        <v>37</v>
      </c>
      <c r="V8" s="22"/>
      <c r="W8" s="22"/>
    </row>
    <row r="9" spans="1:23" ht="12.75">
      <c r="A9" s="18">
        <f>Spielplan2!$B27</f>
        <v>31</v>
      </c>
      <c r="B9" s="18" t="str">
        <f>Spielplan2!$E27</f>
        <v>C4</v>
      </c>
      <c r="C9" s="19" t="s">
        <v>14</v>
      </c>
      <c r="D9" s="20" t="str">
        <f>Spielplan2!$G27</f>
        <v>D4</v>
      </c>
      <c r="E9" s="15">
        <f>IF(Spielplan2!$H27="","",Spielplan2!$H27)</f>
      </c>
      <c r="F9" s="15" t="s">
        <v>15</v>
      </c>
      <c r="G9" s="15">
        <f>IF(Spielplan2!$J27="","",Spielplan2!$J27)</f>
      </c>
      <c r="H9" s="75">
        <f t="shared" si="0"/>
      </c>
      <c r="I9" s="75">
        <f t="shared" si="1"/>
      </c>
      <c r="K9" s="257"/>
      <c r="L9" s="257"/>
      <c r="M9" s="257"/>
      <c r="N9" s="257"/>
      <c r="O9" s="257"/>
      <c r="P9" s="257"/>
      <c r="Q9" s="257"/>
      <c r="V9" s="22"/>
      <c r="W9" s="22"/>
    </row>
    <row r="10" spans="1:23" ht="12.75">
      <c r="A10" s="18">
        <f>Spielplan2!$B29</f>
        <v>32</v>
      </c>
      <c r="B10" s="18" t="str">
        <f>Spielplan2!$E29</f>
        <v>C3</v>
      </c>
      <c r="C10" s="19" t="s">
        <v>14</v>
      </c>
      <c r="D10" s="20" t="str">
        <f>Spielplan2!$G29</f>
        <v>D3</v>
      </c>
      <c r="E10" s="15">
        <f>IF(Spielplan2!$H29="","",Spielplan2!$H29)</f>
      </c>
      <c r="F10" s="15" t="s">
        <v>15</v>
      </c>
      <c r="G10" s="15">
        <f>IF(Spielplan2!$J29="","",Spielplan2!$J29)</f>
      </c>
      <c r="H10" s="75">
        <f t="shared" si="0"/>
      </c>
      <c r="I10" s="75">
        <f t="shared" si="1"/>
      </c>
      <c r="K10" s="73" t="str">
        <f>Spielplan2!A12</f>
        <v>A2</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Spielplan2!$B38</f>
        <v>41</v>
      </c>
      <c r="B11" s="18" t="str">
        <f>Spielplan2!$E38</f>
        <v>D2</v>
      </c>
      <c r="C11" s="19" t="s">
        <v>14</v>
      </c>
      <c r="D11" s="20" t="str">
        <f>Spielplan2!$G38</f>
        <v>A1</v>
      </c>
      <c r="E11" s="15">
        <f>IF(Spielplan2!$H38="","",Spielplan2!$H38)</f>
      </c>
      <c r="F11" s="15" t="s">
        <v>15</v>
      </c>
      <c r="G11" s="15">
        <f>IF(Spielplan2!$J38="","",Spielplan2!$J38)</f>
      </c>
      <c r="H11" s="75">
        <f t="shared" si="0"/>
      </c>
      <c r="I11" s="75">
        <f t="shared" si="1"/>
      </c>
      <c r="J11" s="25"/>
      <c r="K11" s="73" t="str">
        <f>Spielplan2!A14</f>
        <v>B2</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f>Spielplan2!$B40</f>
        <v>42</v>
      </c>
      <c r="B12" s="18" t="str">
        <f>Spielplan2!$E40</f>
        <v>D1</v>
      </c>
      <c r="C12" s="19" t="s">
        <v>14</v>
      </c>
      <c r="D12" s="20" t="str">
        <f>Spielplan2!$G40</f>
        <v>A2</v>
      </c>
      <c r="E12" s="15">
        <f>IF(Spielplan2!$H40="","",Spielplan2!$H40)</f>
      </c>
      <c r="F12" s="15" t="s">
        <v>15</v>
      </c>
      <c r="G12" s="15">
        <f>IF(Spielplan2!$J40="","",Spielplan2!$J40)</f>
      </c>
      <c r="H12" s="75">
        <f t="shared" si="0"/>
      </c>
      <c r="I12" s="75">
        <f t="shared" si="1"/>
      </c>
      <c r="K12" s="73" t="str">
        <f>Spielplan2!A16</f>
        <v>C1</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f>Spielplan2!$B42</f>
        <v>43</v>
      </c>
      <c r="B13" s="18" t="str">
        <f>Spielplan2!$E42</f>
        <v>D4</v>
      </c>
      <c r="C13" s="19" t="s">
        <v>14</v>
      </c>
      <c r="D13" s="20" t="str">
        <f>Spielplan2!$G42</f>
        <v>A3</v>
      </c>
      <c r="E13" s="15">
        <f>IF(Spielplan2!$H42="","",Spielplan2!$H42)</f>
      </c>
      <c r="F13" s="15" t="s">
        <v>15</v>
      </c>
      <c r="G13" s="15">
        <f>IF(Spielplan2!$J42="","",Spielplan2!$J42)</f>
      </c>
      <c r="H13" s="75">
        <f t="shared" si="0"/>
      </c>
      <c r="I13" s="75">
        <f t="shared" si="1"/>
      </c>
      <c r="K13" s="73" t="str">
        <f>Spielplan2!A18</f>
        <v>D1</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Spielplan2!$B44</f>
        <v>44</v>
      </c>
      <c r="B14" s="18" t="str">
        <f>Spielplan2!$E44</f>
        <v>D3</v>
      </c>
      <c r="C14" s="19" t="s">
        <v>14</v>
      </c>
      <c r="D14" s="20" t="str">
        <f>Spielplan2!$G44</f>
        <v>A4</v>
      </c>
      <c r="E14" s="15">
        <f>IF(Spielplan2!$H44="","",Spielplan2!$H44)</f>
      </c>
      <c r="F14" s="15" t="s">
        <v>15</v>
      </c>
      <c r="G14" s="15">
        <f>IF(Spielplan2!$J44="","",Spielplan2!$J44)</f>
      </c>
      <c r="H14" s="75">
        <f t="shared" si="0"/>
      </c>
      <c r="I14" s="75">
        <f t="shared" si="1"/>
      </c>
      <c r="K14" s="13"/>
      <c r="L14" s="19"/>
      <c r="M14" s="19"/>
      <c r="N14" s="15"/>
      <c r="O14" s="15"/>
      <c r="P14" s="15"/>
      <c r="Q14" s="15"/>
    </row>
    <row r="15" spans="1:23" ht="12.75" customHeight="1">
      <c r="A15" s="18">
        <f>Spielplan2!$B39</f>
        <v>45</v>
      </c>
      <c r="B15" s="18" t="str">
        <f>Spielplan2!$E39</f>
        <v>B1</v>
      </c>
      <c r="C15" s="19" t="s">
        <v>14</v>
      </c>
      <c r="D15" s="20" t="str">
        <f>Spielplan2!$G39</f>
        <v>C2</v>
      </c>
      <c r="E15" s="15">
        <f>IF(Spielplan2!$H39="","",Spielplan2!$H39)</f>
      </c>
      <c r="F15" s="15" t="s">
        <v>15</v>
      </c>
      <c r="G15" s="15">
        <f>IF(Spielplan2!$J39="","",Spielplan2!$J39)</f>
      </c>
      <c r="H15" s="75">
        <f t="shared" si="0"/>
      </c>
      <c r="I15" s="75">
        <f t="shared" si="1"/>
      </c>
      <c r="K15" s="257" t="s">
        <v>52</v>
      </c>
      <c r="L15" s="257" t="s">
        <v>36</v>
      </c>
      <c r="M15" s="257" t="s">
        <v>1</v>
      </c>
      <c r="N15" s="257" t="s">
        <v>2</v>
      </c>
      <c r="O15" s="257"/>
      <c r="P15" s="257"/>
      <c r="Q15" s="257" t="s">
        <v>37</v>
      </c>
      <c r="V15" s="22"/>
      <c r="W15" s="22"/>
    </row>
    <row r="16" spans="1:23" ht="12.75" customHeight="1">
      <c r="A16" s="18">
        <f>Spielplan2!$B41</f>
        <v>46</v>
      </c>
      <c r="B16" s="18" t="str">
        <f>Spielplan2!$E41</f>
        <v>B2</v>
      </c>
      <c r="C16" s="19" t="s">
        <v>14</v>
      </c>
      <c r="D16" s="20" t="str">
        <f>Spielplan2!$G41</f>
        <v>C1</v>
      </c>
      <c r="E16" s="15">
        <f>IF(Spielplan2!$H41="","",Spielplan2!$H41)</f>
      </c>
      <c r="F16" s="15" t="s">
        <v>15</v>
      </c>
      <c r="G16" s="15">
        <f>IF(Spielplan2!$J41="","",Spielplan2!$J41)</f>
      </c>
      <c r="H16" s="75">
        <f t="shared" si="0"/>
      </c>
      <c r="I16" s="75">
        <f t="shared" si="1"/>
      </c>
      <c r="K16" s="257"/>
      <c r="L16" s="257"/>
      <c r="M16" s="257"/>
      <c r="N16" s="257"/>
      <c r="O16" s="257"/>
      <c r="P16" s="257"/>
      <c r="Q16" s="257"/>
      <c r="V16" s="22"/>
      <c r="W16" s="22"/>
    </row>
    <row r="17" spans="1:23" ht="15.75" customHeight="1">
      <c r="A17" s="18">
        <f>Spielplan2!$B35</f>
        <v>39</v>
      </c>
      <c r="B17" s="18" t="str">
        <f>Spielplan2!$E35</f>
        <v>B3</v>
      </c>
      <c r="C17" s="19" t="s">
        <v>14</v>
      </c>
      <c r="D17" s="20" t="str">
        <f>Spielplan2!$G35</f>
        <v>C4</v>
      </c>
      <c r="E17" s="15">
        <f>IF(Spielplan2!$H35="","",Spielplan2!$H35)</f>
      </c>
      <c r="F17" s="15" t="s">
        <v>15</v>
      </c>
      <c r="G17" s="15">
        <f>IF(Spielplan2!$J35="","",Spielplan2!$J35)</f>
      </c>
      <c r="H17" s="75">
        <f t="shared" si="0"/>
      </c>
      <c r="I17" s="75">
        <f t="shared" si="1"/>
      </c>
      <c r="K17" s="73" t="str">
        <f>Spielplan2!G2</f>
        <v>A3</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Spielplan2!$B45</f>
        <v>48</v>
      </c>
      <c r="B18" s="18" t="str">
        <f>Spielplan2!$E45</f>
        <v>B4</v>
      </c>
      <c r="C18" s="19" t="s">
        <v>14</v>
      </c>
      <c r="D18" s="20" t="str">
        <f>Spielplan2!$G45</f>
        <v>C3</v>
      </c>
      <c r="E18" s="15">
        <f>IF(Spielplan2!$H45="","",Spielplan2!$H45)</f>
      </c>
      <c r="F18" s="15" t="s">
        <v>15</v>
      </c>
      <c r="G18" s="15">
        <f>IF(Spielplan2!$J45="","",Spielplan2!$J45)</f>
      </c>
      <c r="H18" s="75">
        <f t="shared" si="0"/>
      </c>
      <c r="I18" s="75">
        <f t="shared" si="1"/>
      </c>
      <c r="K18" s="73" t="str">
        <f>Spielplan2!G4</f>
        <v>B3</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f>Spielplan2!$B30</f>
        <v>33</v>
      </c>
      <c r="B19" s="18" t="str">
        <f>Spielplan2!$E30</f>
        <v>A1</v>
      </c>
      <c r="C19" s="19" t="s">
        <v>14</v>
      </c>
      <c r="D19" s="20" t="str">
        <f>Spielplan2!$G30</f>
        <v>C2</v>
      </c>
      <c r="E19" s="15">
        <f>IF(Spielplan2!$H30="","",Spielplan2!$H30)</f>
      </c>
      <c r="F19" s="15" t="s">
        <v>15</v>
      </c>
      <c r="G19" s="15">
        <f>IF(Spielplan2!$J30="","",Spielplan2!$J30)</f>
      </c>
      <c r="H19" s="75">
        <f t="shared" si="0"/>
      </c>
      <c r="I19" s="75">
        <f t="shared" si="1"/>
      </c>
      <c r="K19" s="73" t="str">
        <f>Spielplan2!G6</f>
        <v>C4</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f>Spielplan2!$B32</f>
        <v>34</v>
      </c>
      <c r="B20" s="18" t="str">
        <f>Spielplan2!$E32</f>
        <v>A2</v>
      </c>
      <c r="C20" s="19" t="s">
        <v>14</v>
      </c>
      <c r="D20" s="20" t="str">
        <f>Spielplan2!$G32</f>
        <v>C1</v>
      </c>
      <c r="E20" s="15">
        <f>IF(Spielplan2!$H32="","",Spielplan2!$H32)</f>
      </c>
      <c r="F20" s="15" t="s">
        <v>15</v>
      </c>
      <c r="G20" s="15">
        <f>IF(Spielplan2!$J32="","",Spielplan2!$J32)</f>
      </c>
      <c r="H20" s="75">
        <f t="shared" si="0"/>
      </c>
      <c r="I20" s="75">
        <f t="shared" si="1"/>
      </c>
      <c r="K20" s="73" t="str">
        <f>Spielplan2!G8</f>
        <v>D4</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Spielplan2!$B34</f>
        <v>35</v>
      </c>
      <c r="B21" s="18" t="str">
        <f>Spielplan2!$E34</f>
        <v>A3</v>
      </c>
      <c r="C21" s="19" t="s">
        <v>14</v>
      </c>
      <c r="D21" s="20" t="str">
        <f>Spielplan2!$G34</f>
        <v>C4</v>
      </c>
      <c r="E21" s="15">
        <f>IF(Spielplan2!$H34="","",Spielplan2!$H34)</f>
      </c>
      <c r="F21" s="15" t="s">
        <v>15</v>
      </c>
      <c r="G21" s="15">
        <f>IF(Spielplan2!$J34="","",Spielplan2!$J34)</f>
      </c>
      <c r="H21" s="75">
        <f t="shared" si="0"/>
      </c>
      <c r="I21" s="75">
        <f t="shared" si="1"/>
      </c>
      <c r="K21" s="13"/>
      <c r="L21" s="19"/>
      <c r="M21" s="19"/>
      <c r="N21" s="15"/>
      <c r="O21" s="15"/>
      <c r="P21" s="15"/>
      <c r="Q21" s="15"/>
    </row>
    <row r="22" spans="1:23" ht="12.75">
      <c r="A22" s="18">
        <f>Spielplan2!$B36</f>
        <v>36</v>
      </c>
      <c r="B22" s="18" t="str">
        <f>Spielplan2!$E36</f>
        <v>A4</v>
      </c>
      <c r="C22" s="19" t="s">
        <v>14</v>
      </c>
      <c r="D22" s="20" t="str">
        <f>Spielplan2!$G36</f>
        <v>C3</v>
      </c>
      <c r="E22" s="15">
        <f>IF(Spielplan2!$H36="","",Spielplan2!$H36)</f>
      </c>
      <c r="F22" s="15" t="s">
        <v>15</v>
      </c>
      <c r="G22" s="15">
        <f>IF(Spielplan2!$J36="","",Spielplan2!$J36)</f>
      </c>
      <c r="H22" s="75">
        <f t="shared" si="0"/>
      </c>
      <c r="I22" s="75">
        <f t="shared" si="1"/>
      </c>
      <c r="K22" s="257" t="s">
        <v>53</v>
      </c>
      <c r="L22" s="257" t="s">
        <v>36</v>
      </c>
      <c r="M22" s="257" t="s">
        <v>1</v>
      </c>
      <c r="N22" s="257" t="s">
        <v>2</v>
      </c>
      <c r="O22" s="257"/>
      <c r="P22" s="257"/>
      <c r="Q22" s="257" t="s">
        <v>37</v>
      </c>
      <c r="V22" s="22"/>
      <c r="W22" s="22"/>
    </row>
    <row r="23" spans="1:23" ht="12.75">
      <c r="A23" s="18">
        <f>Spielplan2!$B31</f>
        <v>37</v>
      </c>
      <c r="B23" s="18" t="str">
        <f>Spielplan2!$E31</f>
        <v>B1</v>
      </c>
      <c r="C23" s="19" t="s">
        <v>14</v>
      </c>
      <c r="D23" s="20" t="str">
        <f>Spielplan2!$G31</f>
        <v>D2</v>
      </c>
      <c r="E23" s="15">
        <f>IF(Spielplan2!$H31="","",Spielplan2!$H31)</f>
      </c>
      <c r="F23" s="15" t="s">
        <v>15</v>
      </c>
      <c r="G23" s="15">
        <f>IF(Spielplan2!$J31="","",Spielplan2!$J31)</f>
      </c>
      <c r="H23" s="75">
        <f t="shared" si="0"/>
      </c>
      <c r="I23" s="75">
        <f t="shared" si="1"/>
      </c>
      <c r="K23" s="257"/>
      <c r="L23" s="257"/>
      <c r="M23" s="257"/>
      <c r="N23" s="257"/>
      <c r="O23" s="257"/>
      <c r="P23" s="257"/>
      <c r="Q23" s="257"/>
      <c r="V23" s="22"/>
      <c r="W23" s="22"/>
    </row>
    <row r="24" spans="1:23" ht="12.75">
      <c r="A24" s="18">
        <f>Spielplan2!$B33</f>
        <v>38</v>
      </c>
      <c r="B24" s="18" t="str">
        <f>Spielplan2!$E33</f>
        <v>B2</v>
      </c>
      <c r="C24" s="19" t="s">
        <v>14</v>
      </c>
      <c r="D24" s="20" t="str">
        <f>Spielplan2!$G33</f>
        <v>D1</v>
      </c>
      <c r="E24" s="15">
        <f>IF(Spielplan2!$H33="","",Spielplan2!$H33)</f>
      </c>
      <c r="F24" s="15" t="s">
        <v>15</v>
      </c>
      <c r="G24" s="15">
        <f>IF(Spielplan2!$J33="","",Spielplan2!$J33)</f>
      </c>
      <c r="H24" s="75">
        <f t="shared" si="0"/>
      </c>
      <c r="I24" s="75">
        <f t="shared" si="1"/>
      </c>
      <c r="K24" s="73" t="str">
        <f>Spielplan2!G12</f>
        <v>A4</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Spielplan2!$B43</f>
        <v>47</v>
      </c>
      <c r="B25" s="18" t="str">
        <f>Spielplan2!$E43</f>
        <v>B3</v>
      </c>
      <c r="C25" s="19" t="s">
        <v>14</v>
      </c>
      <c r="D25" s="20" t="str">
        <f>Spielplan2!$G43</f>
        <v>D4</v>
      </c>
      <c r="E25" s="15">
        <f>IF(Spielplan2!$H43="","",Spielplan2!$H43)</f>
      </c>
      <c r="F25" s="15" t="s">
        <v>15</v>
      </c>
      <c r="G25" s="15">
        <f>IF(Spielplan2!$J43="","",Spielplan2!$J43)</f>
      </c>
      <c r="H25" s="75">
        <f t="shared" si="0"/>
      </c>
      <c r="I25" s="75">
        <f t="shared" si="1"/>
      </c>
      <c r="K25" s="73" t="str">
        <f>Spielplan2!G14</f>
        <v>B4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f>Spielplan2!$B37</f>
        <v>40</v>
      </c>
      <c r="B26" s="18" t="str">
        <f>Spielplan2!$E37</f>
        <v>B4</v>
      </c>
      <c r="C26" s="19" t="s">
        <v>14</v>
      </c>
      <c r="D26" s="20" t="str">
        <f>Spielplan2!$G37</f>
        <v>D3</v>
      </c>
      <c r="E26" s="15">
        <f>IF(Spielplan2!$H37="","",Spielplan2!$H37)</f>
      </c>
      <c r="F26" s="15" t="s">
        <v>15</v>
      </c>
      <c r="G26" s="15">
        <f>IF(Spielplan2!$J37="","",Spielplan2!$J37)</f>
      </c>
      <c r="H26" s="75">
        <f t="shared" si="0"/>
      </c>
      <c r="I26" s="75">
        <f t="shared" si="1"/>
      </c>
      <c r="J26" s="26"/>
      <c r="K26" s="73" t="str">
        <f>Spielplan2!G16</f>
        <v>C3</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21" ht="12.75">
      <c r="A27" s="18"/>
      <c r="B27" s="18"/>
      <c r="C27" s="19"/>
      <c r="D27" s="20"/>
      <c r="E27" s="15"/>
      <c r="F27" s="15"/>
      <c r="G27" s="15"/>
      <c r="K27" s="73" t="str">
        <f>Spielplan2!G18</f>
        <v>D3</v>
      </c>
      <c r="L27" s="19">
        <f>SUM(S27:U27)</f>
        <v>0</v>
      </c>
      <c r="M27" s="19">
        <f>SUM(I10,I26,H14)</f>
        <v>0</v>
      </c>
      <c r="N27" s="15">
        <f>SUM(G10,E14,G26)</f>
        <v>0</v>
      </c>
      <c r="O27" s="15" t="s">
        <v>15</v>
      </c>
      <c r="P27" s="15">
        <f>SUM(E10,G14,E26)</f>
        <v>0</v>
      </c>
      <c r="Q27" s="15">
        <f>N27-P27</f>
        <v>0</v>
      </c>
      <c r="S27" s="11">
        <f>IF(OR(E10="",G10=""),0,1)</f>
        <v>0</v>
      </c>
      <c r="T27" s="11">
        <f>IF(OR(E14="",G14=""),0,1)</f>
        <v>0</v>
      </c>
      <c r="U27" s="11">
        <f>IF(OR(E26="",G26=""),0,1)</f>
        <v>0</v>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13" sqref="A13:A14"/>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32</v>
      </c>
      <c r="B2" s="15" t="s">
        <v>33</v>
      </c>
      <c r="C2" s="15"/>
      <c r="D2" s="15" t="s">
        <v>33</v>
      </c>
      <c r="E2" s="257" t="s">
        <v>12</v>
      </c>
      <c r="F2" s="257"/>
      <c r="G2" s="257"/>
      <c r="H2" s="74" t="s">
        <v>34</v>
      </c>
      <c r="I2" s="74" t="s">
        <v>35</v>
      </c>
      <c r="J2" s="16"/>
      <c r="K2" s="17" t="s">
        <v>0</v>
      </c>
      <c r="L2" s="17" t="s">
        <v>36</v>
      </c>
      <c r="M2" s="17" t="s">
        <v>1</v>
      </c>
      <c r="N2" s="258" t="s">
        <v>2</v>
      </c>
      <c r="O2" s="258"/>
      <c r="P2" s="258"/>
      <c r="Q2" s="17" t="s">
        <v>37</v>
      </c>
      <c r="R2" s="16"/>
      <c r="S2" s="11" t="s">
        <v>38</v>
      </c>
      <c r="T2" s="11" t="s">
        <v>39</v>
      </c>
      <c r="U2" s="11" t="s">
        <v>40</v>
      </c>
      <c r="V2" s="12" t="s">
        <v>41</v>
      </c>
      <c r="W2" s="12" t="s">
        <v>42</v>
      </c>
      <c r="X2" s="12" t="s">
        <v>46</v>
      </c>
      <c r="Y2" s="12" t="s">
        <v>47</v>
      </c>
    </row>
    <row r="3" spans="1:25" ht="12.75">
      <c r="A3" s="18">
        <f>Spielplan!$B14</f>
        <v>1</v>
      </c>
      <c r="B3" s="18" t="str">
        <f>Spielplan!$E14</f>
        <v>KJG Burner</v>
      </c>
      <c r="C3" s="19" t="s">
        <v>14</v>
      </c>
      <c r="D3" s="20" t="str">
        <f>Spielplan!$G14</f>
        <v>KJG Wiesloch</v>
      </c>
      <c r="E3" s="15">
        <f>IF(Spielplan!$H14="","",Spielplan!$H14)</f>
      </c>
      <c r="F3" s="15" t="s">
        <v>15</v>
      </c>
      <c r="G3" s="15">
        <f>IF(Spielplan!$J14="","",Spielplan!$J14)</f>
      </c>
      <c r="H3" s="75">
        <f aca="true" t="shared" si="0" ref="H3:H22">IF(OR($E3="",$G3=""),"",IF(E3&gt;G3,3,IF(E3=G3,1,0)))</f>
      </c>
      <c r="I3" s="75">
        <f aca="true" t="shared" si="1" ref="I3:I22">IF(OR($E3="",$G3=""),"",IF(G3&gt;E3,3,IF(E3=G3,1,0)))</f>
      </c>
      <c r="K3" s="73" t="str">
        <f>Vorgaben!A2</f>
        <v>KJG Burner</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f>Spielplan!$B16</f>
        <v>3</v>
      </c>
      <c r="B4" s="18" t="str">
        <f>Spielplan!$E16</f>
        <v>ALFons</v>
      </c>
      <c r="C4" s="19" t="s">
        <v>14</v>
      </c>
      <c r="D4" s="20" t="str">
        <f>Spielplan!$G16</f>
        <v>Mini Kenzingen</v>
      </c>
      <c r="E4" s="15">
        <f>IF(Spielplan!$H16="","",Spielplan!$H16)</f>
      </c>
      <c r="F4" s="15" t="s">
        <v>15</v>
      </c>
      <c r="G4" s="15">
        <f>IF(Spielplan!$J16="","",Spielplan!$J16)</f>
      </c>
      <c r="H4" s="75">
        <f t="shared" si="0"/>
      </c>
      <c r="I4" s="75">
        <f t="shared" si="1"/>
      </c>
      <c r="K4" s="73" t="str">
        <f>Vorgaben!A3</f>
        <v>KJG Wiesloch</v>
      </c>
      <c r="L4" s="19">
        <f>SUM(S4:U4)</f>
        <v>0</v>
      </c>
      <c r="M4" s="19">
        <f>SUM(I3,I15,H23)</f>
        <v>0</v>
      </c>
      <c r="N4" s="15">
        <f>SUM(G3,G15,E23)</f>
        <v>0</v>
      </c>
      <c r="O4" s="15" t="s">
        <v>15</v>
      </c>
      <c r="P4" s="15">
        <f>SUM(E3,E15,G23)</f>
        <v>0</v>
      </c>
      <c r="Q4" s="15">
        <f>N4-P4</f>
        <v>0</v>
      </c>
      <c r="R4" s="21"/>
      <c r="S4" s="11">
        <f>IF(OR(E3="",G3=""),0,1)</f>
        <v>0</v>
      </c>
      <c r="T4" s="11">
        <f>IF(OR(E15="",G15=""),0,1)</f>
        <v>0</v>
      </c>
      <c r="U4" s="11">
        <f>IF(OR(E23="",G23=""),0,1)</f>
        <v>0</v>
      </c>
    </row>
    <row r="5" spans="1:21" ht="12.75">
      <c r="A5" s="18">
        <f>Spielplan!$B18</f>
        <v>5</v>
      </c>
      <c r="B5" s="18" t="str">
        <f>Spielplan!$E18</f>
        <v>KJG Walldorf</v>
      </c>
      <c r="C5" s="19" t="s">
        <v>14</v>
      </c>
      <c r="D5" s="20" t="str">
        <f>Spielplan!$G18</f>
        <v>Hl. Kreuz</v>
      </c>
      <c r="E5" s="15">
        <f>IF(Spielplan!$H18="","",Spielplan!$H18)</f>
      </c>
      <c r="F5" s="15" t="s">
        <v>15</v>
      </c>
      <c r="G5" s="15">
        <f>IF(Spielplan!$J18="","",Spielplan!$J18)</f>
      </c>
      <c r="H5" s="75">
        <f t="shared" si="0"/>
      </c>
      <c r="I5" s="75">
        <f t="shared" si="1"/>
      </c>
      <c r="K5" s="73" t="str">
        <f>Vorgaben!A4</f>
        <v>Minis Forst II</v>
      </c>
      <c r="L5" s="19">
        <f>SUM(S5:U5)</f>
        <v>0</v>
      </c>
      <c r="M5" s="19">
        <f>SUM(H7,H15,I19)</f>
        <v>0</v>
      </c>
      <c r="N5" s="15">
        <f>SUM(E7,E15,G19)</f>
        <v>0</v>
      </c>
      <c r="O5" s="15" t="s">
        <v>15</v>
      </c>
      <c r="P5" s="15">
        <f>SUM(G7,G15,E19)</f>
        <v>0</v>
      </c>
      <c r="Q5" s="15">
        <f>N5-P5</f>
        <v>0</v>
      </c>
      <c r="R5" s="21"/>
      <c r="S5" s="11">
        <f>IF(OR(E7="",G7=""),0,1)</f>
        <v>0</v>
      </c>
      <c r="T5" s="11">
        <f>IF(OR(E15="",G15=""),0,1)</f>
        <v>0</v>
      </c>
      <c r="U5" s="11">
        <f>IF(OR(E19="",G19=""),0,1)</f>
        <v>0</v>
      </c>
    </row>
    <row r="6" spans="1:21" ht="12.75">
      <c r="A6" s="18">
        <f>Spielplan!$B20</f>
        <v>7</v>
      </c>
      <c r="B6" s="18" t="str">
        <f>Spielplan!$E20</f>
        <v>Minis Mühlhausen/Rettigheim</v>
      </c>
      <c r="C6" s="19" t="s">
        <v>14</v>
      </c>
      <c r="D6" s="20" t="str">
        <f>Spielplan!$G20</f>
        <v>Bolzplatzkickers</v>
      </c>
      <c r="E6" s="15">
        <f>IF(Spielplan!$H20="","",Spielplan!$H20)</f>
      </c>
      <c r="F6" s="15" t="s">
        <v>15</v>
      </c>
      <c r="G6" s="15">
        <f>IF(Spielplan!$J20="","",Spielplan!$J20)</f>
      </c>
      <c r="H6" s="75">
        <f t="shared" si="0"/>
      </c>
      <c r="I6" s="75">
        <f t="shared" si="1"/>
      </c>
      <c r="K6" s="73" t="str">
        <f>Vorgaben!A5</f>
        <v>Natural Born Kickers</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f>Spielplan!$B15</f>
        <v>2</v>
      </c>
      <c r="B7" s="18" t="str">
        <f>Spielplan!$E15</f>
        <v>Minis Forst II</v>
      </c>
      <c r="C7" s="19" t="s">
        <v>14</v>
      </c>
      <c r="D7" s="20" t="str">
        <f>Spielplan!$G15</f>
        <v>Natural Born Kickers</v>
      </c>
      <c r="E7" s="15">
        <f>IF(Spielplan!$H15="","",Spielplan!$H15)</f>
      </c>
      <c r="F7" s="15" t="s">
        <v>15</v>
      </c>
      <c r="G7" s="15">
        <f>IF(Spielplan!$J15="","",Spielplan!$J15)</f>
      </c>
      <c r="H7" s="75">
        <f t="shared" si="0"/>
      </c>
      <c r="I7" s="75">
        <f t="shared" si="1"/>
      </c>
      <c r="K7" s="13"/>
      <c r="L7" s="19"/>
      <c r="M7" s="19"/>
      <c r="N7" s="15"/>
      <c r="O7" s="15"/>
      <c r="P7" s="15"/>
      <c r="Q7" s="15"/>
      <c r="R7" s="21"/>
    </row>
    <row r="8" spans="1:23" ht="12.75">
      <c r="A8" s="18">
        <f>Spielplan!$B17</f>
        <v>4</v>
      </c>
      <c r="B8" s="18" t="str">
        <f>Spielplan!$E17</f>
        <v>Himmelsstürmer</v>
      </c>
      <c r="C8" s="19" t="s">
        <v>14</v>
      </c>
      <c r="D8" s="20" t="str">
        <f>Spielplan!$G17</f>
        <v>Minis Forst I</v>
      </c>
      <c r="E8" s="15">
        <f>IF(Spielplan!$H17="","",Spielplan!$H17)</f>
      </c>
      <c r="F8" s="15" t="s">
        <v>15</v>
      </c>
      <c r="G8" s="15">
        <f>IF(Spielplan!$J17="","",Spielplan!$J17)</f>
      </c>
      <c r="H8" s="75">
        <f t="shared" si="0"/>
      </c>
      <c r="I8" s="75">
        <f t="shared" si="1"/>
      </c>
      <c r="K8" s="257" t="s">
        <v>6</v>
      </c>
      <c r="L8" s="257" t="s">
        <v>36</v>
      </c>
      <c r="M8" s="257" t="s">
        <v>1</v>
      </c>
      <c r="N8" s="257" t="s">
        <v>2</v>
      </c>
      <c r="O8" s="257"/>
      <c r="P8" s="257"/>
      <c r="Q8" s="257" t="s">
        <v>37</v>
      </c>
      <c r="V8" s="22"/>
      <c r="W8" s="22"/>
    </row>
    <row r="9" spans="1:23" ht="12.75">
      <c r="A9" s="18">
        <f>Spielplan!$B19</f>
        <v>6</v>
      </c>
      <c r="B9" s="18" t="str">
        <f>Spielplan!$E19</f>
        <v>Minis Rot</v>
      </c>
      <c r="C9" s="19" t="s">
        <v>14</v>
      </c>
      <c r="D9" s="20" t="str">
        <f>Spielplan!$G19</f>
        <v>Die Bierbauchkicker</v>
      </c>
      <c r="E9" s="15">
        <f>IF(Spielplan!$H19="","",Spielplan!$H19)</f>
      </c>
      <c r="F9" s="15" t="s">
        <v>15</v>
      </c>
      <c r="G9" s="15">
        <f>IF(Spielplan!$J19="","",Spielplan!$J19)</f>
      </c>
      <c r="H9" s="75">
        <f t="shared" si="0"/>
      </c>
      <c r="I9" s="75">
        <f t="shared" si="1"/>
      </c>
      <c r="K9" s="257"/>
      <c r="L9" s="257"/>
      <c r="M9" s="257"/>
      <c r="N9" s="257"/>
      <c r="O9" s="257"/>
      <c r="P9" s="257"/>
      <c r="Q9" s="257"/>
      <c r="V9" s="22"/>
      <c r="W9" s="22"/>
    </row>
    <row r="10" spans="1:23" ht="12.75">
      <c r="A10" s="18">
        <f>Spielplan!$B21</f>
        <v>8</v>
      </c>
      <c r="B10" s="18" t="str">
        <f>Spielplan!$E21</f>
        <v>Letzenbergkicker</v>
      </c>
      <c r="C10" s="19" t="s">
        <v>14</v>
      </c>
      <c r="D10" s="20" t="str">
        <f>Spielplan!$G21</f>
        <v>ALFons Allstars</v>
      </c>
      <c r="E10" s="15">
        <f>IF(Spielplan!$H21="","",Spielplan!$H21)</f>
      </c>
      <c r="F10" s="15" t="s">
        <v>15</v>
      </c>
      <c r="G10" s="15">
        <f>IF(Spielplan!$J21="","",Spielplan!$J21)</f>
      </c>
      <c r="H10" s="75">
        <f t="shared" si="0"/>
      </c>
      <c r="I10" s="75">
        <f t="shared" si="1"/>
      </c>
      <c r="K10" s="73" t="str">
        <f>Vorgaben!A9</f>
        <v>ALFons</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f>Spielplan!$B30</f>
        <v>17</v>
      </c>
      <c r="B11" s="18" t="str">
        <f>Spielplan!$E30</f>
        <v>Natural Born Kickers</v>
      </c>
      <c r="C11" s="19" t="s">
        <v>14</v>
      </c>
      <c r="D11" s="20" t="str">
        <f>Spielplan!$G30</f>
        <v>KJG Burner</v>
      </c>
      <c r="E11" s="15">
        <f>IF(Spielplan!$H30="","",Spielplan!$H30)</f>
      </c>
      <c r="F11" s="15" t="s">
        <v>15</v>
      </c>
      <c r="G11" s="15">
        <f>IF(Spielplan!$J30="","",Spielplan!$J30)</f>
      </c>
      <c r="H11" s="75">
        <f t="shared" si="0"/>
      </c>
      <c r="I11" s="75">
        <f t="shared" si="1"/>
      </c>
      <c r="J11" s="25"/>
      <c r="K11" s="73" t="str">
        <f>Vorgaben!A10</f>
        <v>Mini Kenzingen</v>
      </c>
      <c r="L11" s="19">
        <f>SUM(S11:U11)</f>
        <v>0</v>
      </c>
      <c r="M11" s="19">
        <f>SUM(I4,H24,I16)</f>
        <v>0</v>
      </c>
      <c r="N11" s="15">
        <f>SUM(G4,G16,E24)</f>
        <v>0</v>
      </c>
      <c r="O11" s="15" t="s">
        <v>15</v>
      </c>
      <c r="P11" s="15">
        <f>SUM(E4,E16,G24)</f>
        <v>0</v>
      </c>
      <c r="Q11" s="15">
        <f>N11-P11</f>
        <v>0</v>
      </c>
      <c r="R11" s="25"/>
      <c r="S11" s="11">
        <f>IF(OR(E4="",G4=""),0,1)</f>
        <v>0</v>
      </c>
      <c r="T11" s="11">
        <f>IF(OR(E16="",G16=""),0,1)</f>
        <v>0</v>
      </c>
      <c r="U11" s="11">
        <f>IF(OR(E24="",G24=""),0,1)</f>
        <v>0</v>
      </c>
      <c r="V11" s="25"/>
      <c r="W11" s="25"/>
    </row>
    <row r="12" spans="1:21" ht="12.75">
      <c r="A12" s="18">
        <f>Spielplan!$B32</f>
        <v>19</v>
      </c>
      <c r="B12" s="18" t="str">
        <f>Spielplan!$E32</f>
        <v>Minis Forst I</v>
      </c>
      <c r="C12" s="19" t="s">
        <v>14</v>
      </c>
      <c r="D12" s="20" t="str">
        <f>Spielplan!$G32</f>
        <v>ALFons</v>
      </c>
      <c r="E12" s="15">
        <f>IF(Spielplan!$H32="","",Spielplan!$H32)</f>
      </c>
      <c r="F12" s="15" t="s">
        <v>15</v>
      </c>
      <c r="G12" s="15">
        <f>IF(Spielplan!$J32="","",Spielplan!$J32)</f>
      </c>
      <c r="H12" s="75">
        <f t="shared" si="0"/>
      </c>
      <c r="I12" s="75">
        <f t="shared" si="1"/>
      </c>
      <c r="K12" s="73" t="str">
        <f>Vorgaben!A11</f>
        <v>Himmelsstürmer</v>
      </c>
      <c r="L12" s="19">
        <f>SUM(S12:U12)</f>
        <v>0</v>
      </c>
      <c r="M12" s="19">
        <f>SUM(H8,H16,I20)</f>
        <v>0</v>
      </c>
      <c r="N12" s="15">
        <f>SUM(E8,E16,G20)</f>
        <v>0</v>
      </c>
      <c r="O12" s="15" t="s">
        <v>15</v>
      </c>
      <c r="P12" s="15">
        <f>SUM(G8,E20,G16)</f>
        <v>0</v>
      </c>
      <c r="Q12" s="15">
        <f>N12-P12</f>
        <v>0</v>
      </c>
      <c r="S12" s="11">
        <f>IF(OR(E8="",G8=""),0,1)</f>
        <v>0</v>
      </c>
      <c r="T12" s="11">
        <f>IF(OR(E16="",G16=""),0,1)</f>
        <v>0</v>
      </c>
      <c r="U12" s="11">
        <f>IF(OR(E20="",G20=""),0,1)</f>
        <v>0</v>
      </c>
    </row>
    <row r="13" spans="1:21" ht="12.75">
      <c r="A13" s="18">
        <f>Spielplan!$B34</f>
        <v>21</v>
      </c>
      <c r="B13" s="18" t="str">
        <f>Spielplan!$E34</f>
        <v>Die Bierbauchkicker</v>
      </c>
      <c r="C13" s="19" t="s">
        <v>14</v>
      </c>
      <c r="D13" s="20" t="str">
        <f>Spielplan!$G34</f>
        <v>KJG Walldorf</v>
      </c>
      <c r="E13" s="15">
        <f>IF(Spielplan!$H34="","",Spielplan!$H34)</f>
      </c>
      <c r="F13" s="15" t="s">
        <v>15</v>
      </c>
      <c r="G13" s="15">
        <f>IF(Spielplan!$J34="","",Spielplan!$J34)</f>
      </c>
      <c r="H13" s="75">
        <f t="shared" si="0"/>
      </c>
      <c r="I13" s="75">
        <f t="shared" si="1"/>
      </c>
      <c r="K13" s="73" t="str">
        <f>Vorgaben!A12</f>
        <v>Minis Forst I</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f>Spielplan!$B36</f>
        <v>23</v>
      </c>
      <c r="B14" s="18" t="str">
        <f>Spielplan!$E36</f>
        <v>ALFons Allstars</v>
      </c>
      <c r="C14" s="19" t="s">
        <v>14</v>
      </c>
      <c r="D14" s="20" t="str">
        <f>Spielplan!$G36</f>
        <v>Minis Mühlhausen/Rettigheim</v>
      </c>
      <c r="E14" s="15">
        <f>IF(Spielplan!$H36="","",Spielplan!$H36)</f>
      </c>
      <c r="F14" s="15" t="s">
        <v>15</v>
      </c>
      <c r="G14" s="15">
        <f>IF(Spielplan!$J36="","",Spielplan!$J36)</f>
      </c>
      <c r="H14" s="75">
        <f t="shared" si="0"/>
      </c>
      <c r="I14" s="75">
        <f t="shared" si="1"/>
      </c>
      <c r="K14" s="13"/>
      <c r="L14" s="19"/>
      <c r="M14" s="19"/>
      <c r="N14" s="15"/>
      <c r="O14" s="15"/>
      <c r="P14" s="15"/>
      <c r="Q14" s="15"/>
    </row>
    <row r="15" spans="1:23" ht="12.75" customHeight="1">
      <c r="A15" s="18">
        <f>Spielplan!$B31</f>
        <v>18</v>
      </c>
      <c r="B15" s="18" t="str">
        <f>Spielplan!$E31</f>
        <v>Minis Forst II</v>
      </c>
      <c r="C15" s="19" t="s">
        <v>14</v>
      </c>
      <c r="D15" s="20" t="str">
        <f>Spielplan!$G31</f>
        <v>KJG Wiesloch</v>
      </c>
      <c r="E15" s="15">
        <f>IF(Spielplan!$H31="","",Spielplan!$H31)</f>
      </c>
      <c r="F15" s="15" t="s">
        <v>15</v>
      </c>
      <c r="G15" s="15">
        <f>IF(Spielplan!$J31="","",Spielplan!$J31)</f>
      </c>
      <c r="H15" s="75">
        <f t="shared" si="0"/>
      </c>
      <c r="I15" s="75">
        <f t="shared" si="1"/>
      </c>
      <c r="K15" s="257" t="s">
        <v>3</v>
      </c>
      <c r="L15" s="257" t="s">
        <v>36</v>
      </c>
      <c r="M15" s="257" t="s">
        <v>1</v>
      </c>
      <c r="N15" s="257" t="s">
        <v>2</v>
      </c>
      <c r="O15" s="257"/>
      <c r="P15" s="257"/>
      <c r="Q15" s="257" t="s">
        <v>37</v>
      </c>
      <c r="V15" s="22"/>
      <c r="W15" s="22"/>
    </row>
    <row r="16" spans="1:23" ht="12.75" customHeight="1">
      <c r="A16" s="18">
        <f>Spielplan!$B33</f>
        <v>20</v>
      </c>
      <c r="B16" s="18" t="str">
        <f>Spielplan!$E33</f>
        <v>Himmelsstürmer</v>
      </c>
      <c r="C16" s="19" t="s">
        <v>14</v>
      </c>
      <c r="D16" s="20" t="str">
        <f>Spielplan!$G33</f>
        <v>Mini Kenzingen</v>
      </c>
      <c r="E16" s="15">
        <f>IF(Spielplan!$H33="","",Spielplan!$H33)</f>
      </c>
      <c r="F16" s="15" t="s">
        <v>15</v>
      </c>
      <c r="G16" s="15">
        <f>IF(Spielplan!$J33="","",Spielplan!$J33)</f>
      </c>
      <c r="H16" s="75">
        <f t="shared" si="0"/>
      </c>
      <c r="I16" s="75">
        <f t="shared" si="1"/>
      </c>
      <c r="K16" s="257"/>
      <c r="L16" s="257"/>
      <c r="M16" s="257"/>
      <c r="N16" s="257"/>
      <c r="O16" s="257"/>
      <c r="P16" s="257"/>
      <c r="Q16" s="257"/>
      <c r="V16" s="22"/>
      <c r="W16" s="22"/>
    </row>
    <row r="17" spans="1:23" ht="15.75" customHeight="1">
      <c r="A17" s="18">
        <f>Spielplan!$B35</f>
        <v>22</v>
      </c>
      <c r="B17" s="18" t="str">
        <f>Spielplan!$E35</f>
        <v>Minis Rot</v>
      </c>
      <c r="C17" s="19" t="s">
        <v>14</v>
      </c>
      <c r="D17" s="20" t="str">
        <f>Spielplan!$G35</f>
        <v>Hl. Kreuz</v>
      </c>
      <c r="E17" s="15">
        <f>IF(Spielplan!$H35="","",Spielplan!$H35)</f>
      </c>
      <c r="F17" s="15" t="s">
        <v>15</v>
      </c>
      <c r="G17" s="15">
        <f>IF(Spielplan!$J35="","",Spielplan!$J35)</f>
      </c>
      <c r="H17" s="75">
        <f t="shared" si="0"/>
      </c>
      <c r="I17" s="75">
        <f t="shared" si="1"/>
      </c>
      <c r="K17" s="3" t="str">
        <f>Vorgaben!B2</f>
        <v>KJG Walldorf</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f>Spielplan!$B37</f>
        <v>24</v>
      </c>
      <c r="B18" s="18" t="str">
        <f>Spielplan!$E37</f>
        <v>Letzenbergkicker</v>
      </c>
      <c r="C18" s="19" t="s">
        <v>14</v>
      </c>
      <c r="D18" s="20" t="str">
        <f>Spielplan!$G37</f>
        <v>Bolzplatzkickers</v>
      </c>
      <c r="E18" s="15">
        <f>IF(Spielplan!$H37="","",Spielplan!$H37)</f>
      </c>
      <c r="F18" s="15" t="s">
        <v>15</v>
      </c>
      <c r="G18" s="15">
        <f>IF(Spielplan!$J37="","",Spielplan!$J37)</f>
      </c>
      <c r="H18" s="75">
        <f t="shared" si="0"/>
      </c>
      <c r="I18" s="75">
        <f t="shared" si="1"/>
      </c>
      <c r="K18" s="73" t="str">
        <f>Vorgaben!B3</f>
        <v>Hl. Kreuz</v>
      </c>
      <c r="L18" s="19">
        <f>SUM(S18:U18)</f>
        <v>0</v>
      </c>
      <c r="M18" s="19">
        <f>SUM(I5,I17,H25)</f>
        <v>0</v>
      </c>
      <c r="N18" s="15">
        <f>SUM(G5,G17,E25)</f>
        <v>0</v>
      </c>
      <c r="O18" s="15" t="s">
        <v>15</v>
      </c>
      <c r="P18" s="15">
        <f>SUM(E5,E17,G25)</f>
        <v>0</v>
      </c>
      <c r="Q18" s="15">
        <f>N18-P18</f>
        <v>0</v>
      </c>
      <c r="R18" s="25"/>
      <c r="S18" s="11">
        <f>IF(OR(E5="",G5=""),0,1)</f>
        <v>0</v>
      </c>
      <c r="T18" s="11">
        <f>IF(OR(E17="",G17=""),0,1)</f>
        <v>0</v>
      </c>
      <c r="U18" s="11">
        <f>IF(OR(E25="",G25=""),0,1)</f>
        <v>0</v>
      </c>
      <c r="V18" s="25"/>
      <c r="W18" s="25"/>
    </row>
    <row r="19" spans="1:21" ht="12.75">
      <c r="A19" s="18">
        <f>Spielplan!$B22</f>
        <v>9</v>
      </c>
      <c r="B19" s="18" t="str">
        <f>Spielplan!$E22</f>
        <v>KJG Burner</v>
      </c>
      <c r="C19" s="19" t="s">
        <v>14</v>
      </c>
      <c r="D19" s="20" t="str">
        <f>Spielplan!$G22</f>
        <v>Minis Forst II</v>
      </c>
      <c r="E19" s="15">
        <f>IF(Spielplan!$H22="","",Spielplan!$H22)</f>
      </c>
      <c r="F19" s="15" t="s">
        <v>15</v>
      </c>
      <c r="G19" s="15">
        <f>IF(Spielplan!$J22="","",Spielplan!$J22)</f>
      </c>
      <c r="H19" s="75">
        <f t="shared" si="0"/>
      </c>
      <c r="I19" s="75">
        <f t="shared" si="1"/>
      </c>
      <c r="K19" s="73" t="str">
        <f>Vorgaben!B4</f>
        <v>Minis Rot</v>
      </c>
      <c r="L19" s="19">
        <f>SUM(S19:U19)</f>
        <v>0</v>
      </c>
      <c r="M19" s="19">
        <f>SUM(H9,H17,I21)</f>
        <v>0</v>
      </c>
      <c r="N19" s="15">
        <f>SUM(E9,E17,G21)</f>
        <v>0</v>
      </c>
      <c r="O19" s="15" t="s">
        <v>15</v>
      </c>
      <c r="P19" s="15">
        <f>SUM(G9,G17,E21)</f>
        <v>0</v>
      </c>
      <c r="Q19" s="15">
        <f>N19-P19</f>
        <v>0</v>
      </c>
      <c r="S19" s="11">
        <f>IF(OR(E9="",G9=""),0,1)</f>
        <v>0</v>
      </c>
      <c r="T19" s="11">
        <f>IF(OR(E17="",G17=""),0,1)</f>
        <v>0</v>
      </c>
      <c r="U19" s="11">
        <f>IF(OR(E21="",G21=""),0,1)</f>
        <v>0</v>
      </c>
    </row>
    <row r="20" spans="1:21" ht="12.75">
      <c r="A20" s="18">
        <f>Spielplan!$B24</f>
        <v>11</v>
      </c>
      <c r="B20" s="18" t="str">
        <f>Spielplan!$E24</f>
        <v>ALFons</v>
      </c>
      <c r="C20" s="19" t="s">
        <v>14</v>
      </c>
      <c r="D20" s="20" t="str">
        <f>Spielplan!$G24</f>
        <v>Himmelsstürmer</v>
      </c>
      <c r="E20" s="15">
        <f>IF(Spielplan!$H24="","",Spielplan!$H24)</f>
      </c>
      <c r="F20" s="15" t="s">
        <v>15</v>
      </c>
      <c r="G20" s="15">
        <f>IF(Spielplan!$J24="","",Spielplan!$J24)</f>
      </c>
      <c r="H20" s="75">
        <f t="shared" si="0"/>
      </c>
      <c r="I20" s="75">
        <f t="shared" si="1"/>
      </c>
      <c r="K20" s="73" t="str">
        <f>Vorgaben!B5</f>
        <v>Die Bierbauchkicker</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f>Spielplan!$B26</f>
        <v>13</v>
      </c>
      <c r="B21" s="18" t="str">
        <f>Spielplan!$E26</f>
        <v>KJG Walldorf</v>
      </c>
      <c r="C21" s="19" t="s">
        <v>14</v>
      </c>
      <c r="D21" s="20" t="str">
        <f>Spielplan!$G26</f>
        <v>Minis Rot</v>
      </c>
      <c r="E21" s="15">
        <f>IF(Spielplan!$H26="","",Spielplan!$H26)</f>
      </c>
      <c r="F21" s="15" t="s">
        <v>15</v>
      </c>
      <c r="G21" s="15">
        <f>IF(Spielplan!$J26="","",Spielplan!$J26)</f>
      </c>
      <c r="H21" s="75">
        <f t="shared" si="0"/>
      </c>
      <c r="I21" s="75">
        <f t="shared" si="1"/>
      </c>
      <c r="K21" s="13"/>
      <c r="L21" s="19"/>
      <c r="M21" s="19"/>
      <c r="N21" s="15"/>
      <c r="O21" s="15"/>
      <c r="P21" s="15"/>
      <c r="Q21" s="15"/>
    </row>
    <row r="22" spans="1:23" ht="12.75">
      <c r="A22" s="18">
        <f>Spielplan!$B28</f>
        <v>15</v>
      </c>
      <c r="B22" s="18" t="str">
        <f>Spielplan!$E28</f>
        <v>Minis Mühlhausen/Rettigheim</v>
      </c>
      <c r="C22" s="19" t="s">
        <v>14</v>
      </c>
      <c r="D22" s="20" t="str">
        <f>Spielplan!$G28</f>
        <v>Letzenbergkicker</v>
      </c>
      <c r="E22" s="15">
        <f>IF(Spielplan!$H28="","",Spielplan!$H28)</f>
      </c>
      <c r="F22" s="15" t="s">
        <v>15</v>
      </c>
      <c r="G22" s="15">
        <f>IF(Spielplan!$J28="","",Spielplan!$J28)</f>
      </c>
      <c r="H22" s="75">
        <f t="shared" si="0"/>
      </c>
      <c r="I22" s="75">
        <f t="shared" si="1"/>
      </c>
      <c r="K22" s="257" t="s">
        <v>7</v>
      </c>
      <c r="L22" s="257" t="s">
        <v>36</v>
      </c>
      <c r="M22" s="257" t="s">
        <v>1</v>
      </c>
      <c r="N22" s="257" t="s">
        <v>2</v>
      </c>
      <c r="O22" s="257"/>
      <c r="P22" s="257"/>
      <c r="Q22" s="257" t="s">
        <v>37</v>
      </c>
      <c r="V22" s="22"/>
      <c r="W22" s="22"/>
    </row>
    <row r="23" spans="1:23" ht="12.75">
      <c r="A23" s="18">
        <f>Spielplan!$B23</f>
        <v>10</v>
      </c>
      <c r="B23" s="18" t="str">
        <f>Spielplan!$E23</f>
        <v>KJG Wiesloch</v>
      </c>
      <c r="C23" s="19" t="s">
        <v>14</v>
      </c>
      <c r="D23" s="20" t="str">
        <f>Spielplan!$G23</f>
        <v>Natural Born Kickers</v>
      </c>
      <c r="E23" s="15">
        <f>IF(Spielplan!$H23="","",Spielplan!$H23)</f>
      </c>
      <c r="F23" s="15" t="s">
        <v>15</v>
      </c>
      <c r="G23" s="15">
        <f>IF(Spielplan!$J23="","",Spielplan!$J23)</f>
      </c>
      <c r="H23" s="75">
        <f>IF(OR($E23="",$G23=""),"",IF(E23&gt;G23,3,IF(E23=G23,1,0)))</f>
      </c>
      <c r="I23" s="75">
        <f>IF(OR($E23="",$G23=""),"",IF(G23&gt;E23,3,IF(E23=G23,1,0)))</f>
      </c>
      <c r="K23" s="257"/>
      <c r="L23" s="257"/>
      <c r="M23" s="257"/>
      <c r="N23" s="257"/>
      <c r="O23" s="257"/>
      <c r="P23" s="257"/>
      <c r="Q23" s="257"/>
      <c r="V23" s="22"/>
      <c r="W23" s="22"/>
    </row>
    <row r="24" spans="1:23" ht="12.75">
      <c r="A24" s="18">
        <f>Spielplan!$B25</f>
        <v>12</v>
      </c>
      <c r="B24" s="18" t="str">
        <f>Spielplan!$E25</f>
        <v>Mini Kenzingen</v>
      </c>
      <c r="C24" s="19" t="s">
        <v>14</v>
      </c>
      <c r="D24" s="20" t="str">
        <f>Spielplan!$G25</f>
        <v>Minis Forst I</v>
      </c>
      <c r="E24" s="15">
        <f>IF(Spielplan!$H25="","",Spielplan!$H25)</f>
      </c>
      <c r="F24" s="15" t="s">
        <v>15</v>
      </c>
      <c r="G24" s="15">
        <f>IF(Spielplan!$J25="","",Spielplan!$J25)</f>
      </c>
      <c r="H24" s="75">
        <f>IF(OR($E24="",$G24=""),"",IF(E24&gt;G24,3,IF(E24=G24,1,0)))</f>
      </c>
      <c r="I24" s="75">
        <f>IF(OR($E24="",$G24=""),"",IF(G24&gt;E24,3,IF(E24=G24,1,0)))</f>
      </c>
      <c r="K24" s="73" t="str">
        <f>Vorgaben!B9</f>
        <v>Minis Mühlhausen/Rettigheim</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f>Spielplan!$B27</f>
        <v>14</v>
      </c>
      <c r="B25" s="18" t="str">
        <f>Spielplan!$E27</f>
        <v>Hl. Kreuz</v>
      </c>
      <c r="C25" s="19" t="s">
        <v>14</v>
      </c>
      <c r="D25" s="20" t="str">
        <f>Spielplan!$G27</f>
        <v>Die Bierbauchkicker</v>
      </c>
      <c r="E25" s="15">
        <f>IF(Spielplan!$H27="","",Spielplan!$H27)</f>
      </c>
      <c r="F25" s="15" t="s">
        <v>15</v>
      </c>
      <c r="G25" s="15">
        <f>IF(Spielplan!$J27="","",Spielplan!$J27)</f>
      </c>
      <c r="H25" s="75">
        <f>IF(OR($E25="",$G25=""),"",IF(E25&gt;G25,3,IF(E25=G25,1,0)))</f>
      </c>
      <c r="I25" s="75">
        <f>IF(OR($E25="",$G25=""),"",IF(G25&gt;E25,3,IF(E25=G25,1,0)))</f>
      </c>
      <c r="K25" s="73" t="str">
        <f>Vorgaben!B10</f>
        <v>Bolzplatzkickers</v>
      </c>
      <c r="L25" s="19">
        <f>SUM(S25:U25)</f>
        <v>0</v>
      </c>
      <c r="M25" s="19">
        <f>SUM(I6,I18,H26)</f>
        <v>0</v>
      </c>
      <c r="N25" s="15">
        <f>SUM(G6,G18,E26)</f>
        <v>0</v>
      </c>
      <c r="O25" s="15" t="s">
        <v>15</v>
      </c>
      <c r="P25" s="15">
        <f>SUM(E6,E18,G26)</f>
        <v>0</v>
      </c>
      <c r="Q25" s="15">
        <f>N25-P25</f>
        <v>0</v>
      </c>
      <c r="R25" s="25"/>
      <c r="S25" s="11">
        <f>IF(OR(E6="",G6=""),0,1)</f>
        <v>0</v>
      </c>
      <c r="T25" s="11">
        <f>IF(OR(E18="",G18=""),0,1)</f>
        <v>0</v>
      </c>
      <c r="U25" s="11">
        <f>IF(OR(E26="",G26=""),0,1)</f>
        <v>0</v>
      </c>
      <c r="V25" s="25"/>
      <c r="W25" s="25"/>
    </row>
    <row r="26" spans="1:21" ht="12.75">
      <c r="A26" s="18">
        <f>Spielplan!$B29</f>
        <v>16</v>
      </c>
      <c r="B26" s="18" t="str">
        <f>Spielplan!$E29</f>
        <v>Bolzplatzkickers</v>
      </c>
      <c r="C26" s="19" t="s">
        <v>14</v>
      </c>
      <c r="D26" s="20" t="str">
        <f>Spielplan!$G29</f>
        <v>ALFons Allstars</v>
      </c>
      <c r="E26" s="15">
        <f>IF(Spielplan!$H29="","",Spielplan!$H29)</f>
      </c>
      <c r="F26" s="15" t="s">
        <v>15</v>
      </c>
      <c r="G26" s="15">
        <f>IF(Spielplan!$J29="","",Spielplan!$J29)</f>
      </c>
      <c r="H26" s="75">
        <f>IF(OR($E26="",$G26=""),"",IF(E26&gt;G26,3,IF(E26=G26,1,0)))</f>
      </c>
      <c r="I26" s="75">
        <f>IF(OR($E26="",$G26=""),"",IF(G26&gt;E26,3,IF(E26=G26,1,0)))</f>
      </c>
      <c r="J26" s="26"/>
      <c r="K26" s="73" t="str">
        <f>Vorgaben!B11</f>
        <v>Letzenbergkicker</v>
      </c>
      <c r="L26" s="19">
        <f>SUM(S26:U26)</f>
        <v>0</v>
      </c>
      <c r="M26" s="19">
        <f>SUM(H10,H18,I22)</f>
        <v>0</v>
      </c>
      <c r="N26" s="15">
        <f>SUM(E10,E18,G22)</f>
        <v>0</v>
      </c>
      <c r="O26" s="15" t="s">
        <v>15</v>
      </c>
      <c r="P26" s="15">
        <f>SUM(G10,G18,E22)</f>
        <v>0</v>
      </c>
      <c r="Q26" s="15">
        <f>N26-P26</f>
        <v>0</v>
      </c>
      <c r="S26" s="11">
        <f>IF(OR(E10="",G10=""),0,1)</f>
        <v>0</v>
      </c>
      <c r="T26" s="11">
        <f>IF(OR(E18="",G18=""),0,1)</f>
        <v>0</v>
      </c>
      <c r="U26" s="11">
        <f>IF(OR(E22="",G22=""),0,1)</f>
        <v>0</v>
      </c>
    </row>
    <row r="27" spans="1:21" ht="12.75">
      <c r="A27" s="18"/>
      <c r="B27" s="18"/>
      <c r="C27" s="19"/>
      <c r="D27" s="20"/>
      <c r="E27" s="15"/>
      <c r="F27" s="15"/>
      <c r="G27" s="15"/>
      <c r="K27" s="73" t="str">
        <f>Vorgaben!B12</f>
        <v>ALFons Allstars</v>
      </c>
      <c r="L27" s="19">
        <f>SUM(S27:U27)</f>
        <v>0</v>
      </c>
      <c r="M27" s="19">
        <f>SUM(I10,I26,H14)</f>
        <v>0</v>
      </c>
      <c r="N27" s="15">
        <f>SUM(G10,E14,G26)</f>
        <v>0</v>
      </c>
      <c r="O27" s="15" t="s">
        <v>15</v>
      </c>
      <c r="P27" s="15">
        <f>SUM(E10,G14,E26)</f>
        <v>0</v>
      </c>
      <c r="Q27" s="15">
        <f>N27-P27</f>
        <v>0</v>
      </c>
      <c r="S27" s="11">
        <f>IF(OR(E10="",G10=""),0,1)</f>
        <v>0</v>
      </c>
      <c r="T27" s="11">
        <f>IF(OR(E14="",G14=""),0,1)</f>
        <v>0</v>
      </c>
      <c r="U27" s="11">
        <f>IF(OR(E26="",G26=""),0,1)</f>
        <v>0</v>
      </c>
    </row>
  </sheetData>
  <sheetProtection password="F8A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Wickie prv</cp:lastModifiedBy>
  <cp:lastPrinted>2014-06-23T05:25:52Z</cp:lastPrinted>
  <dcterms:created xsi:type="dcterms:W3CDTF">1999-01-27T19:57:19Z</dcterms:created>
  <dcterms:modified xsi:type="dcterms:W3CDTF">2014-11-25T14:48:51Z</dcterms:modified>
  <cp:category/>
  <cp:version/>
  <cp:contentType/>
  <cp:contentStatus/>
</cp:coreProperties>
</file>